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Pavel.Zufan\Downloads\"/>
    </mc:Choice>
  </mc:AlternateContent>
  <xr:revisionPtr revIDLastSave="0" documentId="13_ncr:1_{EBCF858B-B7D8-4C56-84DC-F72C1613E515}" xr6:coauthVersionLast="36" xr6:coauthVersionMax="36" xr10:uidLastSave="{00000000-0000-0000-0000-000000000000}"/>
  <bookViews>
    <workbookView xWindow="0" yWindow="0" windowWidth="19200" windowHeight="6645" xr2:uid="{E5C34987-F13D-4E29-8950-489D74BB707D}"/>
  </bookViews>
  <sheets>
    <sheet name="Instructions" sheetId="15" r:id="rId1"/>
    <sheet name="ActualResults" sheetId="12" r:id="rId2"/>
    <sheet name="Decision" sheetId="11" r:id="rId3"/>
    <sheet name="ExpectedResults" sheetId="7" r:id="rId4"/>
    <sheet name="Data" sheetId="1" r:id="rId5"/>
    <sheet name="Q3" sheetId="18" r:id="rId6"/>
    <sheet name="Q2" sheetId="17" r:id="rId7"/>
    <sheet name="Q1" sheetId="16" r:id="rId8"/>
    <sheet name="RawData" sheetId="19" r:id="rId9"/>
  </sheets>
  <definedNames>
    <definedName name="Jazyk">Instructions!$B$47:$B$48</definedName>
    <definedName name="_xlnm.Print_Area" localSheetId="1">ActualResults!$A$1:$L$95</definedName>
    <definedName name="_xlnm.Print_Area" localSheetId="4">Data!$A$1:$G$42</definedName>
    <definedName name="_xlnm.Print_Area" localSheetId="3">ExpectedResults!$A$1:$E$88</definedName>
    <definedName name="_xlnm.Print_Area" localSheetId="7">'Q1'!$A$1:$L$95</definedName>
    <definedName name="_xlnm.Print_Area" localSheetId="6">'Q2'!$A$1:$L$92</definedName>
    <definedName name="_xlnm.Print_Area" localSheetId="5">'Q3'!$A$1:$L$92</definedName>
    <definedName name="Pozadavek">Data!$A$46:$A$47</definedName>
    <definedName name="Výroba" comment="Výrobní dávky">Data!$A$22:$A$28</definedName>
  </definedNames>
  <calcPr calcId="191029"/>
</workbook>
</file>

<file path=xl/calcChain.xml><?xml version="1.0" encoding="utf-8"?>
<calcChain xmlns="http://schemas.openxmlformats.org/spreadsheetml/2006/main">
  <c r="B17" i="15" l="1"/>
  <c r="B15" i="15"/>
  <c r="B11" i="15"/>
  <c r="F19" i="1" l="1"/>
  <c r="G18" i="1"/>
  <c r="G19" i="1" s="1"/>
  <c r="F18" i="1"/>
  <c r="G17" i="1"/>
  <c r="F17" i="1"/>
  <c r="H71" i="18"/>
  <c r="G71" i="18"/>
  <c r="H71" i="12"/>
  <c r="G71" i="12"/>
  <c r="H71" i="17"/>
  <c r="G71" i="17"/>
  <c r="G71" i="16"/>
  <c r="H71" i="16"/>
  <c r="A3" i="16"/>
  <c r="F2" i="1"/>
  <c r="E4" i="1"/>
  <c r="E3" i="1"/>
  <c r="E2" i="1"/>
  <c r="E1" i="1"/>
  <c r="A1" i="1"/>
  <c r="E2" i="12"/>
  <c r="D3" i="12"/>
  <c r="D7" i="7"/>
  <c r="C4" i="7"/>
  <c r="B52" i="11"/>
  <c r="A50" i="11"/>
  <c r="L51" i="11"/>
  <c r="L50" i="11"/>
  <c r="L49" i="11"/>
  <c r="L48" i="11"/>
  <c r="L47" i="11"/>
  <c r="L46" i="11"/>
  <c r="L45" i="11"/>
  <c r="L44" i="11"/>
  <c r="L43" i="11"/>
  <c r="L42" i="11"/>
  <c r="L31" i="11"/>
  <c r="L30" i="11"/>
  <c r="L29" i="11"/>
  <c r="L28" i="11"/>
  <c r="L27" i="11"/>
  <c r="L26" i="11"/>
  <c r="L25" i="11"/>
  <c r="L24" i="11"/>
  <c r="L23" i="11"/>
  <c r="L22" i="11"/>
  <c r="L21" i="11"/>
  <c r="L20" i="11"/>
  <c r="L19" i="11"/>
  <c r="I1" i="11"/>
  <c r="I2" i="11"/>
  <c r="I12" i="11"/>
  <c r="I14" i="11"/>
  <c r="L18" i="11"/>
  <c r="L17" i="11"/>
  <c r="L16" i="11"/>
  <c r="L41" i="11"/>
  <c r="L40" i="11"/>
  <c r="L39" i="11"/>
  <c r="L38" i="11"/>
  <c r="L37" i="11"/>
  <c r="L36" i="11"/>
  <c r="L35" i="11"/>
  <c r="I33" i="11"/>
  <c r="L34" i="11"/>
  <c r="K34" i="11"/>
  <c r="J34" i="11"/>
  <c r="I34" i="11"/>
  <c r="L15" i="11"/>
  <c r="L14" i="11"/>
  <c r="K14" i="11"/>
  <c r="J14" i="11"/>
  <c r="I13" i="11"/>
  <c r="B15" i="11"/>
  <c r="H19" i="1" l="1"/>
  <c r="B5" i="12" l="1"/>
  <c r="B91" i="12"/>
  <c r="B90" i="12"/>
  <c r="B89" i="12"/>
  <c r="B88" i="12"/>
  <c r="B87" i="12"/>
  <c r="B86" i="12"/>
  <c r="B85" i="12"/>
  <c r="B84" i="12"/>
  <c r="B83" i="12"/>
  <c r="B82" i="12"/>
  <c r="B81" i="12"/>
  <c r="B80" i="12"/>
  <c r="B79" i="12"/>
  <c r="B78" i="12"/>
  <c r="B77" i="12"/>
  <c r="B76" i="12"/>
  <c r="B75" i="12"/>
  <c r="B74" i="12"/>
  <c r="B73" i="12"/>
  <c r="B72" i="12"/>
  <c r="B69" i="12"/>
  <c r="B68" i="12"/>
  <c r="B67" i="12"/>
  <c r="B66" i="12"/>
  <c r="B65" i="12"/>
  <c r="B61" i="12"/>
  <c r="E60" i="12"/>
  <c r="B60" i="12"/>
  <c r="E59" i="12"/>
  <c r="B59" i="12"/>
  <c r="E58" i="12"/>
  <c r="B58" i="12"/>
  <c r="E57" i="12"/>
  <c r="B57" i="12"/>
  <c r="B53" i="12"/>
  <c r="B52" i="12"/>
  <c r="B51" i="12"/>
  <c r="B50" i="12"/>
  <c r="B49" i="12"/>
  <c r="B48" i="12"/>
  <c r="B47" i="12"/>
  <c r="B46" i="12"/>
  <c r="B45" i="12"/>
  <c r="B44" i="12"/>
  <c r="B43" i="12"/>
  <c r="B42" i="12"/>
  <c r="B41" i="12"/>
  <c r="B40" i="12"/>
  <c r="B39" i="12"/>
  <c r="B38" i="12"/>
  <c r="B37" i="12"/>
  <c r="B36" i="12"/>
  <c r="B35" i="12"/>
  <c r="B32" i="12"/>
  <c r="B31" i="12"/>
  <c r="B29" i="12"/>
  <c r="E28" i="12"/>
  <c r="B28" i="12"/>
  <c r="E27" i="12"/>
  <c r="B27" i="12"/>
  <c r="C24" i="12"/>
  <c r="B24" i="12"/>
  <c r="C23" i="12"/>
  <c r="B23" i="12"/>
  <c r="C22" i="12"/>
  <c r="B22" i="12"/>
  <c r="C21" i="12"/>
  <c r="B21" i="12"/>
  <c r="C20" i="12"/>
  <c r="B20" i="12"/>
  <c r="C15" i="12"/>
  <c r="B15" i="12"/>
  <c r="C14" i="12"/>
  <c r="B14" i="12"/>
  <c r="C13" i="12"/>
  <c r="B13" i="12"/>
  <c r="C8" i="12"/>
  <c r="B8" i="12"/>
  <c r="C7" i="12"/>
  <c r="B7" i="12"/>
  <c r="C6" i="12"/>
  <c r="B6" i="12"/>
  <c r="C5" i="12"/>
  <c r="H4" i="12"/>
  <c r="K39" i="12"/>
  <c r="J39" i="12"/>
  <c r="I39" i="12"/>
  <c r="H39" i="12"/>
  <c r="K38" i="12"/>
  <c r="J38" i="12"/>
  <c r="I38" i="12"/>
  <c r="H38" i="12"/>
  <c r="K37" i="12"/>
  <c r="J37" i="12"/>
  <c r="I37" i="12"/>
  <c r="H37" i="12"/>
  <c r="K36" i="12"/>
  <c r="J36" i="12"/>
  <c r="I36" i="12"/>
  <c r="H36" i="12"/>
  <c r="K35" i="12"/>
  <c r="J35" i="12"/>
  <c r="I35" i="12"/>
  <c r="H35" i="12"/>
  <c r="K34" i="12"/>
  <c r="J34" i="12"/>
  <c r="I34" i="12"/>
  <c r="H34" i="12"/>
  <c r="K33" i="12"/>
  <c r="J33" i="12"/>
  <c r="I33" i="12"/>
  <c r="H33" i="12"/>
  <c r="K32" i="12"/>
  <c r="J32" i="12"/>
  <c r="I32" i="12"/>
  <c r="H32" i="12"/>
  <c r="K31" i="12"/>
  <c r="J31" i="12"/>
  <c r="I31" i="12"/>
  <c r="H31" i="12"/>
  <c r="K30" i="12"/>
  <c r="J30" i="12"/>
  <c r="I30" i="12"/>
  <c r="H30" i="12"/>
  <c r="K29" i="12"/>
  <c r="J29" i="12"/>
  <c r="I29" i="12"/>
  <c r="H29" i="12"/>
  <c r="K28" i="12"/>
  <c r="J28" i="12"/>
  <c r="I28" i="12"/>
  <c r="H28" i="12"/>
  <c r="K27" i="12"/>
  <c r="J27" i="12"/>
  <c r="I27" i="12"/>
  <c r="H27" i="12"/>
  <c r="K26" i="12"/>
  <c r="J26" i="12"/>
  <c r="I26" i="12"/>
  <c r="H26" i="12"/>
  <c r="K25" i="12"/>
  <c r="J25" i="12"/>
  <c r="I25" i="12"/>
  <c r="H25" i="12"/>
  <c r="K24" i="12"/>
  <c r="J24" i="12"/>
  <c r="I24" i="12"/>
  <c r="H24" i="12"/>
  <c r="K23" i="12"/>
  <c r="J23" i="12"/>
  <c r="I23" i="12"/>
  <c r="H23" i="12"/>
  <c r="K22" i="12"/>
  <c r="J22" i="12"/>
  <c r="I22" i="12"/>
  <c r="H22" i="12"/>
  <c r="K21" i="12"/>
  <c r="J21" i="12"/>
  <c r="I21" i="12"/>
  <c r="H21" i="12"/>
  <c r="K20" i="12"/>
  <c r="J20" i="12"/>
  <c r="I20" i="12"/>
  <c r="H20" i="12"/>
  <c r="K19" i="12"/>
  <c r="J19" i="12"/>
  <c r="I19" i="12"/>
  <c r="H19" i="12"/>
  <c r="K18" i="12"/>
  <c r="J18" i="12"/>
  <c r="I18" i="12"/>
  <c r="H18" i="12"/>
  <c r="K17" i="12"/>
  <c r="J17" i="12"/>
  <c r="I17" i="12"/>
  <c r="H17" i="12"/>
  <c r="K16" i="12"/>
  <c r="J16" i="12"/>
  <c r="I16" i="12"/>
  <c r="H16" i="12"/>
  <c r="K15" i="12"/>
  <c r="J15" i="12"/>
  <c r="I15" i="12"/>
  <c r="H15" i="12"/>
  <c r="K14" i="12"/>
  <c r="J14" i="12"/>
  <c r="I14" i="12"/>
  <c r="H14" i="12"/>
  <c r="K13" i="12"/>
  <c r="J13" i="12"/>
  <c r="I13" i="12"/>
  <c r="H13" i="12"/>
  <c r="K12" i="12"/>
  <c r="J12" i="12"/>
  <c r="I12" i="12"/>
  <c r="H12" i="12"/>
  <c r="K11" i="12"/>
  <c r="J11" i="12"/>
  <c r="I11" i="12"/>
  <c r="H11" i="12"/>
  <c r="K10" i="12"/>
  <c r="J10" i="12"/>
  <c r="I10" i="12"/>
  <c r="H10" i="12"/>
  <c r="K9" i="12"/>
  <c r="J9" i="12"/>
  <c r="I9" i="12"/>
  <c r="H9" i="12"/>
  <c r="K8" i="12"/>
  <c r="J8" i="12"/>
  <c r="I8" i="12"/>
  <c r="H8" i="12"/>
  <c r="K7" i="12"/>
  <c r="J7" i="12"/>
  <c r="I7" i="12"/>
  <c r="H7" i="12"/>
  <c r="K6" i="12"/>
  <c r="J6" i="12"/>
  <c r="I6" i="12"/>
  <c r="H6" i="12"/>
  <c r="K5" i="12"/>
  <c r="J5" i="12"/>
  <c r="I5" i="12"/>
  <c r="H5" i="12"/>
  <c r="K4" i="12"/>
  <c r="J4" i="12"/>
  <c r="I4" i="12"/>
  <c r="H81" i="12" l="1"/>
  <c r="B30" i="12"/>
  <c r="A28" i="11"/>
  <c r="A27" i="11"/>
  <c r="A31" i="11"/>
  <c r="A26" i="11"/>
  <c r="A23" i="11"/>
  <c r="A25" i="11"/>
  <c r="A24" i="11"/>
  <c r="A30" i="11"/>
  <c r="A22" i="11"/>
  <c r="A29" i="11"/>
  <c r="G81" i="12"/>
  <c r="I81" i="12" s="1"/>
  <c r="B9" i="15" l="1"/>
  <c r="B18" i="15"/>
  <c r="B16" i="15"/>
  <c r="B13" i="15"/>
  <c r="B12" i="15"/>
  <c r="B10" i="15"/>
  <c r="B8" i="15"/>
  <c r="B14" i="15" l="1"/>
  <c r="D62" i="12" l="1"/>
  <c r="J26" i="18"/>
  <c r="I26" i="17"/>
  <c r="H27" i="16"/>
  <c r="H26" i="16"/>
  <c r="B53" i="18"/>
  <c r="B40" i="18"/>
  <c r="B53" i="17"/>
  <c r="B40" i="17"/>
  <c r="E62" i="16"/>
  <c r="B62" i="16"/>
  <c r="B53" i="16"/>
  <c r="B40" i="16"/>
  <c r="G15" i="12" l="1"/>
  <c r="G33" i="12"/>
  <c r="G33" i="7"/>
  <c r="A71" i="16" l="1"/>
  <c r="B69" i="16"/>
  <c r="B68" i="16"/>
  <c r="B67" i="16"/>
  <c r="B66" i="16"/>
  <c r="A65" i="12"/>
  <c r="B91" i="18"/>
  <c r="J12" i="18" s="1"/>
  <c r="B90" i="18"/>
  <c r="B89" i="18"/>
  <c r="B88" i="18"/>
  <c r="J10" i="18" s="1"/>
  <c r="B87" i="18"/>
  <c r="B86" i="18"/>
  <c r="B85" i="18"/>
  <c r="J8" i="18" s="1"/>
  <c r="B84" i="18"/>
  <c r="J7" i="18" s="1"/>
  <c r="B83" i="18"/>
  <c r="J30" i="18" s="1"/>
  <c r="B82" i="18"/>
  <c r="J28" i="18" s="1"/>
  <c r="B81" i="18"/>
  <c r="J16" i="18" s="1"/>
  <c r="B80" i="18"/>
  <c r="B79" i="18"/>
  <c r="J13" i="18" s="1"/>
  <c r="B78" i="18"/>
  <c r="J6" i="18" s="1"/>
  <c r="B77" i="18"/>
  <c r="B76" i="18"/>
  <c r="B75" i="18"/>
  <c r="B74" i="18"/>
  <c r="B73" i="18"/>
  <c r="J5" i="18" s="1"/>
  <c r="B72" i="18"/>
  <c r="J4" i="18" s="1"/>
  <c r="B69" i="18"/>
  <c r="B68" i="18"/>
  <c r="B67" i="18"/>
  <c r="B66" i="18"/>
  <c r="B65" i="18"/>
  <c r="J39" i="18" s="1"/>
  <c r="B61" i="18"/>
  <c r="E60" i="18"/>
  <c r="B60" i="18"/>
  <c r="E59" i="18"/>
  <c r="B59" i="18"/>
  <c r="E58" i="18"/>
  <c r="B58" i="18"/>
  <c r="E57" i="18"/>
  <c r="B57" i="18"/>
  <c r="B52" i="18"/>
  <c r="J9" i="18" s="1"/>
  <c r="B51" i="18"/>
  <c r="B50" i="18"/>
  <c r="B49" i="18"/>
  <c r="B48" i="18"/>
  <c r="B47" i="18"/>
  <c r="B46" i="18"/>
  <c r="J25" i="18" s="1"/>
  <c r="B45" i="18"/>
  <c r="B44" i="18"/>
  <c r="B43" i="18"/>
  <c r="B42" i="18"/>
  <c r="B41" i="18"/>
  <c r="B39" i="18"/>
  <c r="B38" i="18"/>
  <c r="B37" i="18"/>
  <c r="B36" i="18"/>
  <c r="B35" i="18"/>
  <c r="B32" i="18"/>
  <c r="B31" i="18"/>
  <c r="B29" i="18"/>
  <c r="E28" i="18"/>
  <c r="B28" i="18"/>
  <c r="E27" i="18"/>
  <c r="B27" i="18"/>
  <c r="C24" i="18"/>
  <c r="B24" i="18"/>
  <c r="C23" i="18"/>
  <c r="B23" i="18"/>
  <c r="C22" i="18"/>
  <c r="B22" i="18"/>
  <c r="C21" i="18"/>
  <c r="B21" i="18"/>
  <c r="C20" i="18"/>
  <c r="B20" i="18"/>
  <c r="C16" i="18"/>
  <c r="H83" i="18" s="1"/>
  <c r="B16" i="18"/>
  <c r="G83" i="18" s="1"/>
  <c r="C15" i="18"/>
  <c r="B15" i="18"/>
  <c r="C14" i="18"/>
  <c r="B14" i="18"/>
  <c r="C13" i="18"/>
  <c r="B13" i="18"/>
  <c r="C8" i="18"/>
  <c r="B8" i="18"/>
  <c r="C7" i="18"/>
  <c r="B7" i="18"/>
  <c r="C6" i="18"/>
  <c r="B6" i="18"/>
  <c r="C5" i="18"/>
  <c r="B5" i="18"/>
  <c r="A91" i="18"/>
  <c r="A90" i="18"/>
  <c r="A89" i="18"/>
  <c r="A88" i="18"/>
  <c r="A87" i="18"/>
  <c r="A86" i="18"/>
  <c r="A85" i="18"/>
  <c r="A84" i="18"/>
  <c r="A83" i="18"/>
  <c r="A82" i="18"/>
  <c r="A81" i="18"/>
  <c r="A80" i="18"/>
  <c r="A79" i="18"/>
  <c r="A78" i="18"/>
  <c r="A77" i="18"/>
  <c r="A76" i="18"/>
  <c r="A75" i="18"/>
  <c r="A74" i="18"/>
  <c r="A73" i="18"/>
  <c r="A72" i="18"/>
  <c r="A71" i="18"/>
  <c r="A65" i="18"/>
  <c r="D62" i="18"/>
  <c r="A62" i="18"/>
  <c r="A61" i="18"/>
  <c r="D60" i="18"/>
  <c r="A60" i="18"/>
  <c r="D59" i="18"/>
  <c r="A59" i="18"/>
  <c r="D58" i="18"/>
  <c r="A58" i="18"/>
  <c r="D57" i="18"/>
  <c r="A57" i="18"/>
  <c r="A56" i="18"/>
  <c r="A54" i="18"/>
  <c r="A53" i="18"/>
  <c r="A52" i="18"/>
  <c r="A51" i="18"/>
  <c r="A50" i="18"/>
  <c r="A49" i="18"/>
  <c r="A48" i="18"/>
  <c r="A47" i="18"/>
  <c r="A46" i="18"/>
  <c r="A45" i="18"/>
  <c r="A44" i="18"/>
  <c r="A43" i="18"/>
  <c r="A42" i="18"/>
  <c r="A41" i="18"/>
  <c r="A40" i="18"/>
  <c r="A39" i="18"/>
  <c r="A38" i="18"/>
  <c r="A37" i="18"/>
  <c r="A36" i="18"/>
  <c r="A35" i="18"/>
  <c r="A32" i="18"/>
  <c r="A31" i="18"/>
  <c r="A30" i="18"/>
  <c r="A29" i="18"/>
  <c r="D28" i="18"/>
  <c r="A28" i="18"/>
  <c r="D27" i="18"/>
  <c r="A27" i="18"/>
  <c r="A26" i="18"/>
  <c r="A24" i="18"/>
  <c r="A23" i="18"/>
  <c r="A22" i="18"/>
  <c r="A21" i="18"/>
  <c r="A20" i="18"/>
  <c r="C19" i="18"/>
  <c r="B19" i="18"/>
  <c r="A19" i="18"/>
  <c r="A18" i="18"/>
  <c r="A16" i="18"/>
  <c r="A15" i="18"/>
  <c r="A14" i="18"/>
  <c r="A13" i="18"/>
  <c r="C12" i="18"/>
  <c r="B12" i="18"/>
  <c r="A12" i="18"/>
  <c r="A11" i="18"/>
  <c r="A9" i="18"/>
  <c r="A8" i="18"/>
  <c r="A7" i="18"/>
  <c r="A6" i="18"/>
  <c r="A5" i="18"/>
  <c r="C4" i="18"/>
  <c r="B4" i="18"/>
  <c r="A4" i="18"/>
  <c r="D3" i="18"/>
  <c r="A3" i="18"/>
  <c r="B91" i="17"/>
  <c r="I12" i="17" s="1"/>
  <c r="B90" i="17"/>
  <c r="B89" i="17"/>
  <c r="B88" i="17"/>
  <c r="I10" i="17" s="1"/>
  <c r="B87" i="17"/>
  <c r="B86" i="17"/>
  <c r="B85" i="17"/>
  <c r="I8" i="17" s="1"/>
  <c r="B84" i="17"/>
  <c r="I7" i="17" s="1"/>
  <c r="B83" i="17"/>
  <c r="I30" i="17" s="1"/>
  <c r="B82" i="17"/>
  <c r="I28" i="17" s="1"/>
  <c r="B81" i="17"/>
  <c r="I16" i="17" s="1"/>
  <c r="B80" i="17"/>
  <c r="B79" i="17"/>
  <c r="I13" i="17" s="1"/>
  <c r="B78" i="17"/>
  <c r="I6" i="17" s="1"/>
  <c r="B77" i="17"/>
  <c r="B76" i="17"/>
  <c r="B75" i="17"/>
  <c r="B74" i="17"/>
  <c r="B73" i="17"/>
  <c r="I5" i="17" s="1"/>
  <c r="B72" i="17"/>
  <c r="I4" i="17" s="1"/>
  <c r="B69" i="17"/>
  <c r="B68" i="17"/>
  <c r="B67" i="17"/>
  <c r="B66" i="17"/>
  <c r="B65" i="17"/>
  <c r="I39" i="17" s="1"/>
  <c r="B61" i="17"/>
  <c r="E60" i="17"/>
  <c r="B60" i="17"/>
  <c r="E59" i="17"/>
  <c r="B59" i="17"/>
  <c r="E58" i="17"/>
  <c r="B58" i="17"/>
  <c r="E57" i="17"/>
  <c r="B57" i="17"/>
  <c r="B52" i="17"/>
  <c r="B51" i="17"/>
  <c r="B50" i="17"/>
  <c r="B49" i="17"/>
  <c r="B48" i="17"/>
  <c r="B47" i="17"/>
  <c r="B46" i="17"/>
  <c r="I25" i="17" s="1"/>
  <c r="B45" i="17"/>
  <c r="B44" i="17"/>
  <c r="B43" i="17"/>
  <c r="B42" i="17"/>
  <c r="B41" i="17"/>
  <c r="B39" i="17"/>
  <c r="B38" i="17"/>
  <c r="B37" i="17"/>
  <c r="B36" i="17"/>
  <c r="B35" i="17"/>
  <c r="B32" i="17"/>
  <c r="B31" i="17"/>
  <c r="B29" i="17"/>
  <c r="E28" i="17"/>
  <c r="B28" i="17"/>
  <c r="E27" i="17"/>
  <c r="B27" i="17"/>
  <c r="C24" i="17"/>
  <c r="B24" i="17"/>
  <c r="C23" i="17"/>
  <c r="B23" i="17"/>
  <c r="C22" i="17"/>
  <c r="B22" i="17"/>
  <c r="C21" i="17"/>
  <c r="B21" i="17"/>
  <c r="C20" i="17"/>
  <c r="B20" i="17"/>
  <c r="C16" i="17"/>
  <c r="H83" i="17" s="1"/>
  <c r="B16" i="17"/>
  <c r="G83" i="17" s="1"/>
  <c r="C15" i="17"/>
  <c r="B15" i="17"/>
  <c r="C14" i="17"/>
  <c r="B14" i="17"/>
  <c r="C13" i="17"/>
  <c r="B13" i="17"/>
  <c r="C8" i="17"/>
  <c r="B8" i="17"/>
  <c r="C7" i="17"/>
  <c r="B7" i="17"/>
  <c r="C6" i="17"/>
  <c r="B6" i="17"/>
  <c r="C5" i="17"/>
  <c r="B5" i="17"/>
  <c r="G81" i="17" s="1"/>
  <c r="A91" i="17"/>
  <c r="A90" i="17"/>
  <c r="A89" i="17"/>
  <c r="A88" i="17"/>
  <c r="A87" i="17"/>
  <c r="A86" i="17"/>
  <c r="A85" i="17"/>
  <c r="A84" i="17"/>
  <c r="A83" i="17"/>
  <c r="A82" i="17"/>
  <c r="A81" i="17"/>
  <c r="A80" i="17"/>
  <c r="A79" i="17"/>
  <c r="A78" i="17"/>
  <c r="A77" i="17"/>
  <c r="A76" i="17"/>
  <c r="A75" i="17"/>
  <c r="A74" i="17"/>
  <c r="A73" i="17"/>
  <c r="A72" i="17"/>
  <c r="A71" i="17"/>
  <c r="A65" i="17"/>
  <c r="D62" i="17"/>
  <c r="A62" i="17"/>
  <c r="A61" i="17"/>
  <c r="D60" i="17"/>
  <c r="A60" i="17"/>
  <c r="D59" i="17"/>
  <c r="A59" i="17"/>
  <c r="D58" i="17"/>
  <c r="A58" i="17"/>
  <c r="D57" i="17"/>
  <c r="A57" i="17"/>
  <c r="A56" i="17"/>
  <c r="A54" i="17"/>
  <c r="A53" i="17"/>
  <c r="A52" i="17"/>
  <c r="A51" i="17"/>
  <c r="A50" i="17"/>
  <c r="A49" i="17"/>
  <c r="A48" i="17"/>
  <c r="A47" i="17"/>
  <c r="A46" i="17"/>
  <c r="A45" i="17"/>
  <c r="A44" i="17"/>
  <c r="A43" i="17"/>
  <c r="A42" i="17"/>
  <c r="A41" i="17"/>
  <c r="A40" i="17"/>
  <c r="A39" i="17"/>
  <c r="A38" i="17"/>
  <c r="A37" i="17"/>
  <c r="A36" i="17"/>
  <c r="A35" i="17"/>
  <c r="A32" i="17"/>
  <c r="A31" i="17"/>
  <c r="A30" i="17"/>
  <c r="A29" i="17"/>
  <c r="D28" i="17"/>
  <c r="A28" i="17"/>
  <c r="D27" i="17"/>
  <c r="A27" i="17"/>
  <c r="A26" i="17"/>
  <c r="A24" i="17"/>
  <c r="A23" i="17"/>
  <c r="A22" i="17"/>
  <c r="A21" i="17"/>
  <c r="A20" i="17"/>
  <c r="C19" i="17"/>
  <c r="B19" i="17"/>
  <c r="A19" i="17"/>
  <c r="A18" i="17"/>
  <c r="A16" i="17"/>
  <c r="A15" i="17"/>
  <c r="A14" i="17"/>
  <c r="A13" i="17"/>
  <c r="C12" i="17"/>
  <c r="B12" i="17"/>
  <c r="A12" i="17"/>
  <c r="A11" i="17"/>
  <c r="A9" i="17"/>
  <c r="A8" i="17"/>
  <c r="A7" i="17"/>
  <c r="A6" i="17"/>
  <c r="A5" i="17"/>
  <c r="C4" i="17"/>
  <c r="B4" i="17"/>
  <c r="A4" i="17"/>
  <c r="D3" i="17"/>
  <c r="A3" i="17"/>
  <c r="B91" i="16"/>
  <c r="B90" i="16"/>
  <c r="B89" i="16"/>
  <c r="B88" i="16"/>
  <c r="B87" i="16"/>
  <c r="B86" i="16"/>
  <c r="B85" i="16"/>
  <c r="B84" i="16"/>
  <c r="B83" i="16"/>
  <c r="B82" i="16"/>
  <c r="B81" i="16"/>
  <c r="B80" i="16"/>
  <c r="B79" i="16"/>
  <c r="B78" i="16"/>
  <c r="B77" i="16"/>
  <c r="B76" i="16"/>
  <c r="B75" i="16"/>
  <c r="B74" i="16"/>
  <c r="B73" i="16"/>
  <c r="B72" i="16"/>
  <c r="A65" i="16"/>
  <c r="B65" i="16"/>
  <c r="E60" i="16"/>
  <c r="E59" i="16"/>
  <c r="E58" i="16"/>
  <c r="E57" i="16"/>
  <c r="B61" i="16"/>
  <c r="B60" i="16"/>
  <c r="B59" i="16"/>
  <c r="B58" i="16"/>
  <c r="B57" i="16"/>
  <c r="B52" i="16"/>
  <c r="B51" i="16"/>
  <c r="B50" i="16"/>
  <c r="B49" i="16"/>
  <c r="B48" i="16"/>
  <c r="B47" i="16"/>
  <c r="B46" i="16"/>
  <c r="H25" i="16" s="1"/>
  <c r="B45" i="16"/>
  <c r="B44" i="16"/>
  <c r="B43" i="16"/>
  <c r="B42" i="16"/>
  <c r="B41" i="16"/>
  <c r="B39" i="16"/>
  <c r="B38" i="16"/>
  <c r="B37" i="16"/>
  <c r="B36" i="16"/>
  <c r="B35" i="16"/>
  <c r="E28" i="16"/>
  <c r="E27" i="16"/>
  <c r="H20" i="16" s="1"/>
  <c r="B32" i="16"/>
  <c r="B31" i="16"/>
  <c r="B29" i="16"/>
  <c r="B28" i="16"/>
  <c r="B27" i="16"/>
  <c r="C24" i="16"/>
  <c r="C23" i="16"/>
  <c r="C22" i="16"/>
  <c r="C21" i="16"/>
  <c r="C20" i="16"/>
  <c r="E20" i="16" s="1"/>
  <c r="B24" i="16"/>
  <c r="B23" i="16"/>
  <c r="B22" i="16"/>
  <c r="B21" i="16"/>
  <c r="B20" i="16"/>
  <c r="C16" i="16"/>
  <c r="H83" i="16" s="1"/>
  <c r="C15" i="16"/>
  <c r="C14" i="16"/>
  <c r="C13" i="16"/>
  <c r="B16" i="16"/>
  <c r="G83" i="16" s="1"/>
  <c r="B15" i="16"/>
  <c r="B14" i="16"/>
  <c r="B13" i="16"/>
  <c r="C8" i="16"/>
  <c r="C7" i="16"/>
  <c r="C6" i="16"/>
  <c r="C5" i="16"/>
  <c r="B8" i="16"/>
  <c r="B7" i="16"/>
  <c r="B6" i="16"/>
  <c r="B5" i="16"/>
  <c r="H81" i="16" l="1"/>
  <c r="D24" i="16"/>
  <c r="D21" i="16" s="1"/>
  <c r="E62" i="18"/>
  <c r="G85" i="16"/>
  <c r="G82" i="16"/>
  <c r="G79" i="16"/>
  <c r="G75" i="16"/>
  <c r="G80" i="16"/>
  <c r="G74" i="16"/>
  <c r="G86" i="16"/>
  <c r="G85" i="18"/>
  <c r="G82" i="18"/>
  <c r="G80" i="18"/>
  <c r="G86" i="18"/>
  <c r="G75" i="18"/>
  <c r="G79" i="18"/>
  <c r="H85" i="18"/>
  <c r="H86" i="18"/>
  <c r="H75" i="18"/>
  <c r="H79" i="18"/>
  <c r="H82" i="18"/>
  <c r="H80" i="18"/>
  <c r="G81" i="18"/>
  <c r="H74" i="17"/>
  <c r="H74" i="18"/>
  <c r="H82" i="16"/>
  <c r="H74" i="16"/>
  <c r="H80" i="16"/>
  <c r="H79" i="16"/>
  <c r="H75" i="16"/>
  <c r="H86" i="16"/>
  <c r="H85" i="16"/>
  <c r="G81" i="16"/>
  <c r="G74" i="18"/>
  <c r="D20" i="16"/>
  <c r="E24" i="16"/>
  <c r="E21" i="16" s="1"/>
  <c r="H81" i="18"/>
  <c r="G74" i="17"/>
  <c r="C9" i="17"/>
  <c r="H72" i="17" s="1"/>
  <c r="H81" i="17"/>
  <c r="G75" i="17"/>
  <c r="G79" i="17"/>
  <c r="G85" i="17"/>
  <c r="G80" i="17"/>
  <c r="G82" i="17"/>
  <c r="G86" i="17"/>
  <c r="H85" i="17"/>
  <c r="H80" i="17"/>
  <c r="H75" i="17"/>
  <c r="H86" i="17"/>
  <c r="H79" i="17"/>
  <c r="H82" i="17"/>
  <c r="B62" i="18"/>
  <c r="B62" i="17"/>
  <c r="B62" i="12"/>
  <c r="E62" i="17"/>
  <c r="E62" i="12"/>
  <c r="B9" i="18"/>
  <c r="G72" i="18" s="1"/>
  <c r="I20" i="17"/>
  <c r="C9" i="18"/>
  <c r="H72" i="18" s="1"/>
  <c r="J20" i="18"/>
  <c r="B54" i="17"/>
  <c r="J11" i="18"/>
  <c r="B9" i="17"/>
  <c r="G72" i="17" s="1"/>
  <c r="B54" i="12"/>
  <c r="B19" i="15"/>
  <c r="G78" i="16" l="1"/>
  <c r="H78" i="16"/>
  <c r="G78" i="18"/>
  <c r="H78" i="18"/>
  <c r="H78" i="17"/>
  <c r="G78" i="17"/>
  <c r="B54" i="16"/>
  <c r="B54" i="18"/>
  <c r="C19" i="16"/>
  <c r="B19" i="16"/>
  <c r="B51" i="7"/>
  <c r="B40" i="7" l="1"/>
  <c r="B38" i="7"/>
  <c r="D3" i="16" l="1"/>
  <c r="D3" i="7"/>
  <c r="E3" i="7"/>
  <c r="B84" i="7" l="1"/>
  <c r="B21" i="7"/>
  <c r="C21" i="7"/>
  <c r="A86" i="12"/>
  <c r="A90" i="12"/>
  <c r="A90" i="16"/>
  <c r="A86" i="16"/>
  <c r="B86" i="7"/>
  <c r="A86" i="7"/>
  <c r="A82" i="7"/>
  <c r="G39" i="16" l="1"/>
  <c r="G38" i="16"/>
  <c r="G37" i="16"/>
  <c r="G36" i="16"/>
  <c r="G35" i="16"/>
  <c r="G34" i="16"/>
  <c r="G33" i="16"/>
  <c r="G32"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39" i="17"/>
  <c r="G38" i="17"/>
  <c r="G37" i="17"/>
  <c r="G36" i="17"/>
  <c r="G35" i="17"/>
  <c r="G34" i="17"/>
  <c r="G33" i="17"/>
  <c r="G32"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39" i="18"/>
  <c r="G38" i="18"/>
  <c r="G37" i="18"/>
  <c r="G36" i="18"/>
  <c r="G35" i="18"/>
  <c r="G34" i="18"/>
  <c r="G33" i="18"/>
  <c r="G32"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 i="18"/>
  <c r="G4" i="18"/>
  <c r="G3" i="18"/>
  <c r="C4" i="12"/>
  <c r="G39" i="12"/>
  <c r="G38" i="12"/>
  <c r="G37" i="12"/>
  <c r="G36" i="12"/>
  <c r="G35" i="12"/>
  <c r="G34" i="12"/>
  <c r="G32" i="12"/>
  <c r="G30" i="12"/>
  <c r="G29" i="12"/>
  <c r="G28" i="12"/>
  <c r="G27" i="12"/>
  <c r="G26" i="12"/>
  <c r="G25" i="12"/>
  <c r="G24" i="12"/>
  <c r="G23" i="12"/>
  <c r="G22" i="12"/>
  <c r="G21" i="12"/>
  <c r="G20" i="12"/>
  <c r="G19" i="12"/>
  <c r="G18" i="12"/>
  <c r="G17" i="12"/>
  <c r="G16" i="12"/>
  <c r="G14" i="12"/>
  <c r="G13" i="12"/>
  <c r="G12" i="12"/>
  <c r="G11" i="12"/>
  <c r="G10" i="12"/>
  <c r="G9" i="12"/>
  <c r="G8" i="12"/>
  <c r="G7" i="12"/>
  <c r="G6" i="12"/>
  <c r="G5" i="12"/>
  <c r="G4" i="12"/>
  <c r="G3" i="12"/>
  <c r="G39" i="7"/>
  <c r="G38" i="7"/>
  <c r="G37" i="7"/>
  <c r="G36" i="7"/>
  <c r="G35" i="7"/>
  <c r="G34" i="7"/>
  <c r="G32" i="7"/>
  <c r="G30" i="7"/>
  <c r="G29" i="7"/>
  <c r="G28" i="7"/>
  <c r="G27" i="7"/>
  <c r="G26" i="7"/>
  <c r="G25" i="7"/>
  <c r="G24" i="7"/>
  <c r="G23" i="7"/>
  <c r="G22" i="7"/>
  <c r="G21" i="7"/>
  <c r="G20" i="7"/>
  <c r="G19" i="7"/>
  <c r="G18" i="7"/>
  <c r="G17" i="7"/>
  <c r="G16" i="7"/>
  <c r="G15" i="7"/>
  <c r="G14" i="7"/>
  <c r="G13" i="7"/>
  <c r="G12" i="7"/>
  <c r="G11" i="7"/>
  <c r="G10" i="7"/>
  <c r="G9" i="7"/>
  <c r="G8" i="7"/>
  <c r="G7" i="7"/>
  <c r="G6" i="7"/>
  <c r="G5" i="7"/>
  <c r="G4" i="7"/>
  <c r="G3" i="7"/>
  <c r="A54" i="16" l="1"/>
  <c r="A53" i="16"/>
  <c r="A52" i="16"/>
  <c r="A51" i="16"/>
  <c r="A50" i="16"/>
  <c r="A49" i="16"/>
  <c r="A48" i="16"/>
  <c r="A47" i="16"/>
  <c r="A46" i="16"/>
  <c r="A45" i="16"/>
  <c r="A44" i="16"/>
  <c r="A43" i="16"/>
  <c r="A42" i="16"/>
  <c r="A41" i="16"/>
  <c r="A40" i="16"/>
  <c r="A39" i="16"/>
  <c r="A38" i="16"/>
  <c r="A37" i="16"/>
  <c r="A36" i="16"/>
  <c r="A35" i="16"/>
  <c r="A54" i="12"/>
  <c r="A53" i="12"/>
  <c r="A52" i="12"/>
  <c r="A51" i="12"/>
  <c r="A50" i="12"/>
  <c r="A49" i="12"/>
  <c r="A48" i="12"/>
  <c r="A47" i="12"/>
  <c r="A46" i="12"/>
  <c r="A45" i="12"/>
  <c r="A44" i="12"/>
  <c r="A43" i="12"/>
  <c r="A42" i="12"/>
  <c r="A41" i="12"/>
  <c r="A40" i="12"/>
  <c r="A39" i="12"/>
  <c r="A38" i="12"/>
  <c r="A37" i="12"/>
  <c r="A36" i="12"/>
  <c r="A35" i="12"/>
  <c r="A49" i="7"/>
  <c r="A48" i="7"/>
  <c r="A47" i="7"/>
  <c r="A46" i="7"/>
  <c r="A45" i="7"/>
  <c r="A44" i="7"/>
  <c r="A43" i="7"/>
  <c r="A42" i="7"/>
  <c r="A41" i="7"/>
  <c r="A40" i="7"/>
  <c r="A38" i="7"/>
  <c r="J32" i="1"/>
  <c r="I31" i="1"/>
  <c r="A37" i="1"/>
  <c r="A42" i="1"/>
  <c r="B1" i="11"/>
  <c r="B4" i="7"/>
  <c r="B20" i="15" l="1"/>
  <c r="A1" i="7"/>
  <c r="B7" i="15"/>
  <c r="H3" i="12" l="1"/>
  <c r="I3" i="12" s="1"/>
  <c r="J3" i="12" s="1"/>
  <c r="K3" i="12" s="1"/>
  <c r="G1" i="12"/>
  <c r="A1" i="12"/>
  <c r="G1" i="18"/>
  <c r="A1" i="18"/>
  <c r="G1" i="17"/>
  <c r="A1" i="17"/>
  <c r="A1" i="16"/>
  <c r="G1" i="16"/>
  <c r="A70" i="7" l="1"/>
  <c r="A74" i="12"/>
  <c r="A74" i="16"/>
  <c r="B9" i="16"/>
  <c r="G72" i="16" s="1"/>
  <c r="A82" i="16" l="1"/>
  <c r="A12" i="16"/>
  <c r="B12" i="16"/>
  <c r="C12" i="16"/>
  <c r="B16" i="12" l="1"/>
  <c r="C16" i="12"/>
  <c r="H83" i="12" l="1"/>
  <c r="G83" i="12"/>
  <c r="A5" i="15"/>
  <c r="B2" i="11"/>
  <c r="B42" i="7" s="1"/>
  <c r="B75" i="7" s="1"/>
  <c r="I83" i="12" l="1"/>
  <c r="A13" i="11"/>
  <c r="A12" i="11"/>
  <c r="A9" i="11"/>
  <c r="A6" i="11"/>
  <c r="B9" i="12"/>
  <c r="C9" i="12"/>
  <c r="H72" i="12" l="1"/>
  <c r="H74" i="12"/>
  <c r="H85" i="12"/>
  <c r="H82" i="12"/>
  <c r="H80" i="12"/>
  <c r="H79" i="12"/>
  <c r="H78" i="12" s="1"/>
  <c r="H86" i="12"/>
  <c r="H75" i="12"/>
  <c r="G72" i="12"/>
  <c r="I72" i="12" s="1"/>
  <c r="G75" i="12"/>
  <c r="G74" i="12"/>
  <c r="I74" i="12" s="1"/>
  <c r="G80" i="12"/>
  <c r="G82" i="12"/>
  <c r="I82" i="12" s="1"/>
  <c r="G86" i="12"/>
  <c r="G79" i="12"/>
  <c r="G85" i="12"/>
  <c r="I85" i="12" s="1"/>
  <c r="H21" i="16"/>
  <c r="H21" i="17" s="1"/>
  <c r="I39" i="18"/>
  <c r="H20" i="18"/>
  <c r="H26" i="17"/>
  <c r="H39" i="17"/>
  <c r="H39" i="18" s="1"/>
  <c r="H20" i="17"/>
  <c r="I22" i="17" s="1"/>
  <c r="I79" i="12" l="1"/>
  <c r="G78" i="12"/>
  <c r="I78" i="12" s="1"/>
  <c r="I80" i="12"/>
  <c r="I86" i="12"/>
  <c r="I75" i="12"/>
  <c r="I26" i="18"/>
  <c r="I11" i="17"/>
  <c r="H11" i="16"/>
  <c r="H11" i="18" s="1"/>
  <c r="I9" i="17"/>
  <c r="H9" i="16"/>
  <c r="H37" i="16"/>
  <c r="H36" i="16"/>
  <c r="H35" i="16"/>
  <c r="H34" i="16"/>
  <c r="H33" i="16"/>
  <c r="H31" i="16"/>
  <c r="H10" i="16"/>
  <c r="H8" i="16"/>
  <c r="L8" i="16" s="1"/>
  <c r="H9" i="18" l="1"/>
  <c r="L9" i="16"/>
  <c r="H10" i="18"/>
  <c r="L10" i="16"/>
  <c r="I10" i="18"/>
  <c r="H10" i="17"/>
  <c r="L10" i="17" s="1"/>
  <c r="I9" i="18"/>
  <c r="H11" i="17"/>
  <c r="L11" i="17" s="1"/>
  <c r="J37" i="18"/>
  <c r="J36" i="18"/>
  <c r="J35" i="18"/>
  <c r="J34" i="18"/>
  <c r="J33" i="18"/>
  <c r="J31" i="18"/>
  <c r="I32" i="18"/>
  <c r="I24" i="18"/>
  <c r="I22" i="18"/>
  <c r="I17" i="18"/>
  <c r="H37" i="18"/>
  <c r="H36" i="18"/>
  <c r="H35" i="18"/>
  <c r="H34" i="18"/>
  <c r="H33" i="18"/>
  <c r="H32" i="18"/>
  <c r="H31" i="18"/>
  <c r="H26" i="18"/>
  <c r="H24" i="18"/>
  <c r="H22" i="18"/>
  <c r="H17" i="18"/>
  <c r="H8" i="18"/>
  <c r="L8" i="18" s="1"/>
  <c r="I37" i="17"/>
  <c r="I36" i="17"/>
  <c r="I35" i="17"/>
  <c r="I34" i="17"/>
  <c r="I33" i="17"/>
  <c r="I31" i="17"/>
  <c r="H23" i="16"/>
  <c r="H21" i="18"/>
  <c r="I15" i="17"/>
  <c r="I14" i="17"/>
  <c r="I8" i="18"/>
  <c r="H37" i="17"/>
  <c r="H36" i="17"/>
  <c r="H35" i="17"/>
  <c r="H34" i="17"/>
  <c r="H33" i="17"/>
  <c r="H32" i="17"/>
  <c r="H31" i="17"/>
  <c r="H24" i="17"/>
  <c r="H22" i="17"/>
  <c r="H17" i="17"/>
  <c r="H9" i="17"/>
  <c r="L9" i="17" s="1"/>
  <c r="H8" i="17"/>
  <c r="L8" i="17" s="1"/>
  <c r="J15" i="18"/>
  <c r="J14" i="18"/>
  <c r="L3" i="18"/>
  <c r="H16" i="16"/>
  <c r="L3" i="17"/>
  <c r="H15" i="16"/>
  <c r="H15" i="17" s="1"/>
  <c r="H14" i="16"/>
  <c r="H30" i="16"/>
  <c r="B44" i="7"/>
  <c r="B41" i="7"/>
  <c r="A91" i="16"/>
  <c r="A89" i="16"/>
  <c r="A88" i="16"/>
  <c r="A87" i="16"/>
  <c r="A85" i="16"/>
  <c r="A84" i="16"/>
  <c r="A83" i="16"/>
  <c r="A81" i="16"/>
  <c r="A80" i="16"/>
  <c r="H13" i="16"/>
  <c r="L13" i="16" s="1"/>
  <c r="A79" i="16"/>
  <c r="A78" i="16"/>
  <c r="A77" i="16"/>
  <c r="A76" i="16"/>
  <c r="A75" i="16"/>
  <c r="A73" i="16"/>
  <c r="A72" i="16"/>
  <c r="D62" i="16"/>
  <c r="A62" i="16"/>
  <c r="A61" i="16"/>
  <c r="D60" i="16"/>
  <c r="A60" i="16"/>
  <c r="D59" i="16"/>
  <c r="A59" i="16"/>
  <c r="L3" i="16"/>
  <c r="D58" i="16"/>
  <c r="A58" i="16"/>
  <c r="D57" i="16"/>
  <c r="A57" i="16"/>
  <c r="A56" i="16"/>
  <c r="A32" i="16"/>
  <c r="A31" i="16"/>
  <c r="A30" i="16"/>
  <c r="A29" i="16"/>
  <c r="D28" i="16"/>
  <c r="A28" i="16"/>
  <c r="D27" i="16"/>
  <c r="A27" i="16"/>
  <c r="A26" i="16"/>
  <c r="A24" i="16"/>
  <c r="A23" i="16"/>
  <c r="A22" i="16"/>
  <c r="A21" i="16"/>
  <c r="A20" i="16"/>
  <c r="A19" i="16"/>
  <c r="A18" i="16"/>
  <c r="A16" i="16"/>
  <c r="A15" i="16"/>
  <c r="A14" i="16"/>
  <c r="A13" i="16"/>
  <c r="A11" i="16"/>
  <c r="C9" i="16"/>
  <c r="A9" i="16"/>
  <c r="A8" i="16"/>
  <c r="A7" i="16"/>
  <c r="A6" i="16"/>
  <c r="A5" i="16"/>
  <c r="C4" i="16"/>
  <c r="B4" i="16"/>
  <c r="A4" i="16"/>
  <c r="J2" i="11"/>
  <c r="K2" i="11"/>
  <c r="C19" i="12"/>
  <c r="B19" i="12"/>
  <c r="C17" i="11"/>
  <c r="B17" i="11"/>
  <c r="A40" i="11"/>
  <c r="D31" i="11"/>
  <c r="D30" i="11"/>
  <c r="D29" i="11"/>
  <c r="D28" i="11"/>
  <c r="D27" i="11"/>
  <c r="D26" i="11"/>
  <c r="D25" i="11"/>
  <c r="D24" i="11"/>
  <c r="D23" i="11"/>
  <c r="D22" i="11"/>
  <c r="L3" i="12"/>
  <c r="A3" i="12"/>
  <c r="A4" i="12"/>
  <c r="B4" i="12"/>
  <c r="A5" i="12"/>
  <c r="A6" i="12"/>
  <c r="A7" i="12"/>
  <c r="A8" i="12"/>
  <c r="A9" i="12"/>
  <c r="A11" i="12"/>
  <c r="A12" i="12"/>
  <c r="B12" i="12"/>
  <c r="C12" i="12"/>
  <c r="A13" i="12"/>
  <c r="A14" i="12"/>
  <c r="A15" i="12"/>
  <c r="A16" i="12"/>
  <c r="A18" i="12"/>
  <c r="A19" i="12"/>
  <c r="A20" i="12"/>
  <c r="A21" i="12"/>
  <c r="A22" i="12"/>
  <c r="A23" i="12"/>
  <c r="A24" i="12"/>
  <c r="A26" i="12"/>
  <c r="A27" i="12"/>
  <c r="D27" i="12"/>
  <c r="A28" i="12"/>
  <c r="D28" i="12"/>
  <c r="A29" i="12"/>
  <c r="A30" i="12"/>
  <c r="A31" i="12"/>
  <c r="A32" i="12"/>
  <c r="A56" i="12"/>
  <c r="A57" i="12"/>
  <c r="D57" i="12"/>
  <c r="A58" i="12"/>
  <c r="D58" i="12"/>
  <c r="A59" i="12"/>
  <c r="D59" i="12"/>
  <c r="A60" i="12"/>
  <c r="D60" i="12"/>
  <c r="A61" i="12"/>
  <c r="A62" i="12"/>
  <c r="A71" i="12"/>
  <c r="A72" i="12"/>
  <c r="A73" i="12"/>
  <c r="A75" i="12"/>
  <c r="A76" i="12"/>
  <c r="A77" i="12"/>
  <c r="A78" i="12"/>
  <c r="A79" i="12"/>
  <c r="A80" i="12"/>
  <c r="A81" i="12"/>
  <c r="A82" i="12"/>
  <c r="A83" i="12"/>
  <c r="A84" i="12"/>
  <c r="A85" i="12"/>
  <c r="A87" i="12"/>
  <c r="A88" i="12"/>
  <c r="A89" i="12"/>
  <c r="A91" i="12"/>
  <c r="G1" i="7"/>
  <c r="C18" i="7"/>
  <c r="B18" i="7"/>
  <c r="A40" i="1"/>
  <c r="A39" i="1"/>
  <c r="A38" i="1"/>
  <c r="F36" i="1"/>
  <c r="A36" i="1"/>
  <c r="A33" i="1"/>
  <c r="A32" i="1"/>
  <c r="A31" i="1"/>
  <c r="E21" i="1"/>
  <c r="D21" i="1"/>
  <c r="C21" i="1"/>
  <c r="B21" i="1"/>
  <c r="A21" i="1"/>
  <c r="D20" i="1"/>
  <c r="B20" i="1"/>
  <c r="A19" i="1"/>
  <c r="E16" i="1"/>
  <c r="E15" i="1"/>
  <c r="C15" i="1"/>
  <c r="B15" i="1"/>
  <c r="A15" i="1"/>
  <c r="G14" i="1"/>
  <c r="F14" i="1"/>
  <c r="E14" i="1"/>
  <c r="A14" i="1"/>
  <c r="E13" i="1"/>
  <c r="A13" i="1"/>
  <c r="A10" i="1"/>
  <c r="E10" i="1"/>
  <c r="A9" i="1"/>
  <c r="E9" i="1"/>
  <c r="B8" i="1"/>
  <c r="A8" i="1"/>
  <c r="F8" i="1"/>
  <c r="E8" i="1"/>
  <c r="A7" i="1"/>
  <c r="E7" i="1"/>
  <c r="A4" i="1"/>
  <c r="A3" i="1"/>
  <c r="C2" i="1"/>
  <c r="B2" i="1"/>
  <c r="A2" i="1"/>
  <c r="A1" i="11"/>
  <c r="B10" i="1"/>
  <c r="B9" i="1"/>
  <c r="C39" i="11"/>
  <c r="B39" i="11"/>
  <c r="F31" i="11"/>
  <c r="E31" i="11"/>
  <c r="F30" i="11"/>
  <c r="E30" i="11"/>
  <c r="F29" i="11"/>
  <c r="E29" i="11"/>
  <c r="F28" i="11"/>
  <c r="E28" i="11"/>
  <c r="F27" i="11"/>
  <c r="E27" i="11"/>
  <c r="F26" i="11"/>
  <c r="E26" i="11"/>
  <c r="F25" i="11"/>
  <c r="E25" i="11"/>
  <c r="F24" i="11"/>
  <c r="E24" i="11"/>
  <c r="F23" i="11"/>
  <c r="E23" i="11"/>
  <c r="F22" i="11"/>
  <c r="F21" i="11"/>
  <c r="E21" i="11"/>
  <c r="C21" i="11"/>
  <c r="B21" i="11"/>
  <c r="C15" i="11"/>
  <c r="A51" i="11"/>
  <c r="A47" i="11"/>
  <c r="A46" i="11"/>
  <c r="A45" i="11"/>
  <c r="A44" i="11"/>
  <c r="A43" i="11"/>
  <c r="A41" i="11"/>
  <c r="A39" i="11"/>
  <c r="G20" i="11"/>
  <c r="E20" i="11"/>
  <c r="A36" i="11"/>
  <c r="A35" i="11"/>
  <c r="A34" i="11"/>
  <c r="A32" i="11"/>
  <c r="A21" i="11"/>
  <c r="A20" i="11"/>
  <c r="A18" i="11"/>
  <c r="A17" i="11"/>
  <c r="A16" i="11"/>
  <c r="C5" i="11"/>
  <c r="B5" i="11"/>
  <c r="A15" i="11"/>
  <c r="A8" i="11"/>
  <c r="A11" i="11"/>
  <c r="A5" i="11"/>
  <c r="A4" i="11"/>
  <c r="A2" i="11"/>
  <c r="L3" i="7"/>
  <c r="A87" i="7"/>
  <c r="A85" i="7"/>
  <c r="A84" i="7"/>
  <c r="A83" i="7"/>
  <c r="A81" i="7"/>
  <c r="A80" i="7"/>
  <c r="A79" i="7"/>
  <c r="A78" i="7"/>
  <c r="A77" i="7"/>
  <c r="A76" i="7"/>
  <c r="A75" i="7"/>
  <c r="A74" i="7"/>
  <c r="A73" i="7"/>
  <c r="A72" i="7"/>
  <c r="A71" i="7"/>
  <c r="A69" i="7"/>
  <c r="A68" i="7"/>
  <c r="A67" i="7"/>
  <c r="D61" i="7"/>
  <c r="D59" i="7"/>
  <c r="D58" i="7"/>
  <c r="D57" i="7"/>
  <c r="D56" i="7"/>
  <c r="A61" i="7"/>
  <c r="A60" i="7"/>
  <c r="A59" i="7"/>
  <c r="A58" i="7"/>
  <c r="A57" i="7"/>
  <c r="A56" i="7"/>
  <c r="A55" i="7"/>
  <c r="A53" i="7"/>
  <c r="A52" i="7"/>
  <c r="A51" i="7"/>
  <c r="A50" i="7"/>
  <c r="A39" i="7"/>
  <c r="A37" i="7"/>
  <c r="A36" i="7"/>
  <c r="A35" i="7"/>
  <c r="A34" i="7"/>
  <c r="D27" i="7"/>
  <c r="D26" i="7"/>
  <c r="A31" i="7"/>
  <c r="A30" i="7"/>
  <c r="A29" i="7"/>
  <c r="A28" i="7"/>
  <c r="A27" i="7"/>
  <c r="A26" i="7"/>
  <c r="A25" i="7"/>
  <c r="A23" i="7"/>
  <c r="A22" i="7"/>
  <c r="A21" i="7"/>
  <c r="A20" i="7"/>
  <c r="A19" i="7"/>
  <c r="A18" i="7"/>
  <c r="A17" i="7"/>
  <c r="A15" i="7"/>
  <c r="A14" i="7"/>
  <c r="A13" i="7"/>
  <c r="C12" i="7"/>
  <c r="B12" i="7"/>
  <c r="A12" i="7"/>
  <c r="A11" i="7"/>
  <c r="A9" i="7"/>
  <c r="A8" i="7"/>
  <c r="A7" i="7"/>
  <c r="A6" i="7"/>
  <c r="A5" i="7"/>
  <c r="A4" i="7"/>
  <c r="A3" i="7"/>
  <c r="B5" i="7"/>
  <c r="C5" i="7"/>
  <c r="B27" i="7"/>
  <c r="B29" i="7"/>
  <c r="B36" i="7"/>
  <c r="B56" i="7"/>
  <c r="E22" i="11"/>
  <c r="G22" i="11"/>
  <c r="G23" i="11"/>
  <c r="G24" i="11"/>
  <c r="G25" i="11"/>
  <c r="G26" i="11"/>
  <c r="G27" i="11"/>
  <c r="G28" i="11"/>
  <c r="G29" i="11"/>
  <c r="G30" i="11"/>
  <c r="G31" i="11"/>
  <c r="B32" i="11"/>
  <c r="C32" i="11"/>
  <c r="A7" i="15"/>
  <c r="B57" i="7"/>
  <c r="G76" i="17" l="1"/>
  <c r="G73" i="17" s="1"/>
  <c r="G77" i="17" s="1"/>
  <c r="G84" i="17" s="1"/>
  <c r="G87" i="17" s="1"/>
  <c r="G76" i="16"/>
  <c r="G73" i="16" s="1"/>
  <c r="G77" i="16" s="1"/>
  <c r="G84" i="16" s="1"/>
  <c r="G87" i="16" s="1"/>
  <c r="G76" i="18"/>
  <c r="G73" i="18" s="1"/>
  <c r="G77" i="18" s="1"/>
  <c r="G84" i="18" s="1"/>
  <c r="G87" i="18" s="1"/>
  <c r="G76" i="12"/>
  <c r="H76" i="18"/>
  <c r="H73" i="18" s="1"/>
  <c r="H77" i="18" s="1"/>
  <c r="H84" i="18" s="1"/>
  <c r="H87" i="18" s="1"/>
  <c r="H76" i="17"/>
  <c r="H73" i="17" s="1"/>
  <c r="H77" i="17" s="1"/>
  <c r="H84" i="17" s="1"/>
  <c r="H87" i="17" s="1"/>
  <c r="H76" i="16"/>
  <c r="H73" i="16" s="1"/>
  <c r="H76" i="12"/>
  <c r="H73" i="12" s="1"/>
  <c r="H77" i="12" s="1"/>
  <c r="H84" i="12" s="1"/>
  <c r="H87" i="12" s="1"/>
  <c r="H4" i="16"/>
  <c r="L4" i="16" s="1"/>
  <c r="H72" i="16"/>
  <c r="L10" i="18"/>
  <c r="L9" i="18"/>
  <c r="H3" i="7"/>
  <c r="H18" i="7" s="1"/>
  <c r="H27" i="17"/>
  <c r="H25" i="18"/>
  <c r="H25" i="17"/>
  <c r="I23" i="17"/>
  <c r="I20" i="18"/>
  <c r="I21" i="17"/>
  <c r="I34" i="18"/>
  <c r="I14" i="18"/>
  <c r="H29" i="16"/>
  <c r="I25" i="18"/>
  <c r="I15" i="18"/>
  <c r="E57" i="7"/>
  <c r="B43" i="7" s="1"/>
  <c r="B28" i="7"/>
  <c r="B31" i="7" s="1"/>
  <c r="E32" i="11"/>
  <c r="B13" i="7"/>
  <c r="H13" i="18"/>
  <c r="H13" i="17"/>
  <c r="L13" i="17" s="1"/>
  <c r="C13" i="7"/>
  <c r="C6" i="7"/>
  <c r="C8" i="7" s="1"/>
  <c r="B6" i="7"/>
  <c r="K3" i="7"/>
  <c r="J3" i="7"/>
  <c r="I3" i="7"/>
  <c r="B82" i="7"/>
  <c r="I11" i="18"/>
  <c r="L11" i="18" s="1"/>
  <c r="I36" i="18"/>
  <c r="I35" i="18"/>
  <c r="I31" i="18"/>
  <c r="I16" i="18"/>
  <c r="I33" i="18"/>
  <c r="I37" i="18"/>
  <c r="H14" i="18"/>
  <c r="H23" i="17"/>
  <c r="H14" i="17"/>
  <c r="H30" i="18"/>
  <c r="H30" i="17"/>
  <c r="H16" i="18"/>
  <c r="L16" i="18" s="1"/>
  <c r="H16" i="17"/>
  <c r="L16" i="17" s="1"/>
  <c r="H15" i="18"/>
  <c r="H23" i="18"/>
  <c r="F32" i="11"/>
  <c r="D32" i="11"/>
  <c r="G32" i="11"/>
  <c r="G73" i="12" l="1"/>
  <c r="G77" i="12" s="1"/>
  <c r="I76" i="12"/>
  <c r="H4" i="18"/>
  <c r="I24" i="7"/>
  <c r="I34" i="7"/>
  <c r="I4" i="7"/>
  <c r="H34" i="7"/>
  <c r="J13" i="7"/>
  <c r="J4" i="7"/>
  <c r="J34" i="7"/>
  <c r="K19" i="7"/>
  <c r="K34" i="7"/>
  <c r="H77" i="16"/>
  <c r="H84" i="16" s="1"/>
  <c r="H87" i="16" s="1"/>
  <c r="H4" i="17"/>
  <c r="L4" i="17" s="1"/>
  <c r="J22" i="18"/>
  <c r="L35" i="12"/>
  <c r="L36" i="12"/>
  <c r="L11" i="12"/>
  <c r="L37" i="12"/>
  <c r="B47" i="7"/>
  <c r="B77" i="7" s="1"/>
  <c r="H19" i="7"/>
  <c r="H20" i="7"/>
  <c r="H21" i="7" s="1"/>
  <c r="J24" i="7"/>
  <c r="K24" i="7"/>
  <c r="L16" i="12"/>
  <c r="H13" i="7"/>
  <c r="H31" i="7"/>
  <c r="H17" i="7"/>
  <c r="H22" i="7"/>
  <c r="I20" i="7" s="1"/>
  <c r="I21" i="7" s="1"/>
  <c r="H35" i="7"/>
  <c r="C9" i="7"/>
  <c r="H9" i="7"/>
  <c r="H32" i="7"/>
  <c r="H11" i="7"/>
  <c r="H33" i="7"/>
  <c r="H15" i="7"/>
  <c r="H36" i="7"/>
  <c r="H14" i="7"/>
  <c r="B19" i="7"/>
  <c r="I28" i="18"/>
  <c r="J29" i="18"/>
  <c r="I29" i="17"/>
  <c r="I29" i="18" s="1"/>
  <c r="I6" i="18"/>
  <c r="J21" i="7"/>
  <c r="I27" i="17"/>
  <c r="I27" i="18" s="1"/>
  <c r="K21" i="7"/>
  <c r="I30" i="18"/>
  <c r="H29" i="18"/>
  <c r="H29" i="17"/>
  <c r="I21" i="18"/>
  <c r="J23" i="18"/>
  <c r="J20" i="7"/>
  <c r="K20" i="7"/>
  <c r="I22" i="7"/>
  <c r="B40" i="11"/>
  <c r="B41" i="11" s="1"/>
  <c r="J18" i="7"/>
  <c r="J19" i="7"/>
  <c r="I18" i="7"/>
  <c r="K18" i="7"/>
  <c r="I19" i="7"/>
  <c r="K16" i="7"/>
  <c r="J32" i="7"/>
  <c r="J26" i="7"/>
  <c r="K33" i="7"/>
  <c r="J17" i="7"/>
  <c r="J16" i="7"/>
  <c r="J36" i="7"/>
  <c r="J33" i="7"/>
  <c r="J11" i="7"/>
  <c r="J31" i="7"/>
  <c r="K28" i="7"/>
  <c r="K13" i="7"/>
  <c r="J27" i="7"/>
  <c r="J15" i="7"/>
  <c r="J35" i="7"/>
  <c r="K32" i="7"/>
  <c r="K35" i="7"/>
  <c r="J28" i="7"/>
  <c r="K17" i="7"/>
  <c r="K26" i="7"/>
  <c r="I32" i="7"/>
  <c r="K14" i="7"/>
  <c r="K4" i="7"/>
  <c r="K36" i="7"/>
  <c r="J14" i="7"/>
  <c r="K11" i="7"/>
  <c r="K27" i="7"/>
  <c r="I11" i="7"/>
  <c r="I17" i="7"/>
  <c r="I35" i="7"/>
  <c r="I33" i="7"/>
  <c r="I36" i="7"/>
  <c r="I13" i="7"/>
  <c r="I14" i="7"/>
  <c r="I9" i="7"/>
  <c r="K15" i="7"/>
  <c r="K31" i="7"/>
  <c r="I15" i="7"/>
  <c r="I31" i="7"/>
  <c r="K9" i="7"/>
  <c r="J22" i="7"/>
  <c r="J9" i="7"/>
  <c r="K22" i="7"/>
  <c r="I23" i="18"/>
  <c r="H5" i="16"/>
  <c r="L5" i="16" s="1"/>
  <c r="H28" i="16"/>
  <c r="H28" i="18" s="1"/>
  <c r="B8" i="7"/>
  <c r="I13" i="18"/>
  <c r="L13" i="18" s="1"/>
  <c r="H38" i="16"/>
  <c r="H6" i="16"/>
  <c r="L6" i="16" s="1"/>
  <c r="H27" i="18"/>
  <c r="C22" i="7"/>
  <c r="B22" i="7"/>
  <c r="I73" i="12" l="1"/>
  <c r="G84" i="12"/>
  <c r="I77" i="12"/>
  <c r="H16" i="7"/>
  <c r="L30" i="12"/>
  <c r="J21" i="18"/>
  <c r="E26" i="7"/>
  <c r="B46" i="7" s="1"/>
  <c r="L13" i="12"/>
  <c r="B9" i="7"/>
  <c r="I16" i="7"/>
  <c r="L36" i="7"/>
  <c r="L35" i="7"/>
  <c r="I5" i="18"/>
  <c r="I4" i="18"/>
  <c r="L4" i="18" s="1"/>
  <c r="H5" i="17"/>
  <c r="L5" i="17" s="1"/>
  <c r="H5" i="18"/>
  <c r="L5" i="18" s="1"/>
  <c r="B20" i="7"/>
  <c r="K25" i="7"/>
  <c r="H28" i="17"/>
  <c r="L9" i="7"/>
  <c r="H6" i="17"/>
  <c r="L6" i="17" s="1"/>
  <c r="H6" i="18"/>
  <c r="L6" i="18" s="1"/>
  <c r="H38" i="17"/>
  <c r="H38" i="18"/>
  <c r="G87" i="12" l="1"/>
  <c r="I87" i="12" s="1"/>
  <c r="I84" i="12"/>
  <c r="B68" i="7"/>
  <c r="L16" i="7"/>
  <c r="H12" i="16"/>
  <c r="L12" i="16" s="1"/>
  <c r="B35" i="7"/>
  <c r="L4" i="12"/>
  <c r="J27" i="18"/>
  <c r="B23" i="7"/>
  <c r="E27" i="7"/>
  <c r="H23" i="7" s="1"/>
  <c r="J23" i="7"/>
  <c r="K23" i="7"/>
  <c r="H7" i="16"/>
  <c r="H7" i="17" l="1"/>
  <c r="L7" i="17" s="1"/>
  <c r="L7" i="16"/>
  <c r="H4" i="7"/>
  <c r="L4" i="7" s="1"/>
  <c r="H12" i="17"/>
  <c r="L12" i="17" s="1"/>
  <c r="H12" i="18"/>
  <c r="I23" i="7"/>
  <c r="C40" i="11"/>
  <c r="C41" i="11" s="1"/>
  <c r="I38" i="17"/>
  <c r="I38" i="18" s="1"/>
  <c r="C19" i="7"/>
  <c r="I7" i="18"/>
  <c r="H7" i="18"/>
  <c r="J25" i="7"/>
  <c r="K30" i="7"/>
  <c r="K29" i="7"/>
  <c r="L8" i="12"/>
  <c r="L7" i="18" l="1"/>
  <c r="I12" i="18"/>
  <c r="L12" i="18" s="1"/>
  <c r="L28" i="12"/>
  <c r="C20" i="7"/>
  <c r="B45" i="7" s="1"/>
  <c r="K6" i="7"/>
  <c r="H24" i="7" l="1"/>
  <c r="J38" i="18"/>
  <c r="H26" i="7"/>
  <c r="L5" i="12"/>
  <c r="I26" i="7"/>
  <c r="C23" i="7"/>
  <c r="B58" i="7" s="1"/>
  <c r="J5" i="7"/>
  <c r="J30" i="7"/>
  <c r="K5" i="7"/>
  <c r="K7" i="7"/>
  <c r="K37" i="7"/>
  <c r="B70" i="7" l="1"/>
  <c r="I25" i="7"/>
  <c r="C14" i="7"/>
  <c r="C15" i="7" s="1"/>
  <c r="B14" i="7"/>
  <c r="B48" i="7"/>
  <c r="L24" i="7"/>
  <c r="H27" i="7"/>
  <c r="I27" i="7"/>
  <c r="J6" i="7"/>
  <c r="B78" i="7" l="1"/>
  <c r="H25" i="7"/>
  <c r="I28" i="7"/>
  <c r="B15" i="7"/>
  <c r="K38" i="7"/>
  <c r="B72" i="7" l="1"/>
  <c r="H28" i="7"/>
  <c r="L28" i="7" s="1"/>
  <c r="B59" i="7"/>
  <c r="J29" i="7"/>
  <c r="B49" i="7"/>
  <c r="J8" i="7"/>
  <c r="K8" i="7"/>
  <c r="L11" i="7"/>
  <c r="B79" i="7" l="1"/>
  <c r="I30" i="7"/>
  <c r="H29" i="7"/>
  <c r="I29" i="7"/>
  <c r="J37" i="7"/>
  <c r="J7" i="7"/>
  <c r="K12" i="7"/>
  <c r="J12" i="7"/>
  <c r="B74" i="7" l="1"/>
  <c r="H6" i="7" s="1"/>
  <c r="H30" i="7"/>
  <c r="L30" i="7" s="1"/>
  <c r="I6" i="7"/>
  <c r="J10" i="7"/>
  <c r="K10" i="7"/>
  <c r="J38" i="7" l="1"/>
  <c r="B34" i="7" l="1"/>
  <c r="L10" i="12" l="1"/>
  <c r="L6" i="12"/>
  <c r="L6" i="7"/>
  <c r="L7" i="12"/>
  <c r="B50" i="7" l="1"/>
  <c r="B52" i="7" s="1"/>
  <c r="L12" i="12"/>
  <c r="I37" i="7"/>
  <c r="B37" i="7" l="1"/>
  <c r="B39" i="7" s="1"/>
  <c r="I8" i="7"/>
  <c r="E59" i="7" l="1"/>
  <c r="B71" i="7"/>
  <c r="B69" i="7" l="1"/>
  <c r="I5" i="7"/>
  <c r="H10" i="7"/>
  <c r="I10" i="7"/>
  <c r="B73" i="7" l="1"/>
  <c r="B80" i="7" s="1"/>
  <c r="H7" i="7" s="1"/>
  <c r="H5" i="7"/>
  <c r="L5" i="7" s="1"/>
  <c r="I7" i="7"/>
  <c r="L7" i="7" l="1"/>
  <c r="B81" i="7" l="1"/>
  <c r="B83" i="7" s="1"/>
  <c r="B85" i="7" s="1"/>
  <c r="H8" i="7"/>
  <c r="L8" i="7" s="1"/>
  <c r="B53" i="7" l="1"/>
  <c r="B87" i="7"/>
  <c r="E56" i="7" s="1"/>
  <c r="E58" i="7"/>
  <c r="H37" i="7"/>
  <c r="L37" i="7" s="1"/>
  <c r="E61" i="7" l="1"/>
  <c r="H12" i="7"/>
  <c r="I12" i="7"/>
  <c r="H38" i="7"/>
  <c r="I38" i="7"/>
  <c r="B60" i="7"/>
  <c r="B61" i="7" s="1"/>
  <c r="L1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Reviewer</author>
  </authors>
  <commentList>
    <comment ref="B70" authorId="0" shapeId="0" xr:uid="{8C358AF8-1DBA-46FC-940D-05068848B1DF}">
      <text>
        <r>
          <rPr>
            <b/>
            <sz val="9"/>
            <color rgb="FF000000"/>
            <rFont val="Tahoma"/>
            <family val="2"/>
            <charset val="238"/>
          </rPr>
          <t xml:space="preserve">Pozor, tento výpočet hodnoty materiálu vychází z fixních cen, což neodpovídá algoritmu simulace - ten je nastaven metodou FIFO. Z tohoto důvodu se zde uvedený výsledek může odlišovat od reality v řádu desetitisíců korun.
</t>
        </r>
        <r>
          <rPr>
            <b/>
            <sz val="9"/>
            <color rgb="FF000000"/>
            <rFont val="Tahoma"/>
            <family val="2"/>
            <charset val="238"/>
          </rPr>
          <t xml:space="preserve">
</t>
        </r>
        <r>
          <rPr>
            <b/>
            <sz val="9"/>
            <color rgb="FFFF0000"/>
            <rFont val="Tahoma"/>
            <family val="2"/>
            <charset val="238"/>
          </rPr>
          <t>Caution, this calculation of the raw materials value comes from the fixed prices, which does not correspond with the simulation algorithm - that is set to FIFO calculation. Therefore the result can differ from reality in the order of ten-thousands Krones.</t>
        </r>
      </text>
    </comment>
  </commentList>
</comments>
</file>

<file path=xl/sharedStrings.xml><?xml version="1.0" encoding="utf-8"?>
<sst xmlns="http://schemas.openxmlformats.org/spreadsheetml/2006/main" count="83" uniqueCount="38">
  <si>
    <t>&lt; 90</t>
  </si>
  <si>
    <t>&lt;90;100)</t>
  </si>
  <si>
    <t>&lt;100;110)</t>
  </si>
  <si>
    <t>&gt;= 110</t>
  </si>
  <si>
    <t>PI</t>
  </si>
  <si>
    <t>(n)</t>
  </si>
  <si>
    <t>(n+1)</t>
  </si>
  <si>
    <t>CASH FLOW</t>
  </si>
  <si>
    <t>FINANCE</t>
  </si>
  <si>
    <t>1.</t>
  </si>
  <si>
    <t>2.</t>
  </si>
  <si>
    <t>3</t>
  </si>
  <si>
    <t>4</t>
  </si>
  <si>
    <t>3.</t>
  </si>
  <si>
    <t>4.</t>
  </si>
  <si>
    <t>1</t>
  </si>
  <si>
    <t>2</t>
  </si>
  <si>
    <t>Nejprve zvolte jazyk</t>
  </si>
  <si>
    <t>Choose language, first</t>
  </si>
  <si>
    <t>CZ</t>
  </si>
  <si>
    <t>EN</t>
  </si>
  <si>
    <t>5.</t>
  </si>
  <si>
    <t>6.</t>
  </si>
  <si>
    <t>7.</t>
  </si>
  <si>
    <t>8.</t>
  </si>
  <si>
    <t>Firm</t>
  </si>
  <si>
    <t>SHARE PRICES</t>
  </si>
  <si>
    <t>Competitor 1</t>
  </si>
  <si>
    <t>Competitor 2</t>
  </si>
  <si>
    <t>Competitor 3</t>
  </si>
  <si>
    <t>Competitor 4</t>
  </si>
  <si>
    <t>Quarter 1</t>
  </si>
  <si>
    <t>quarter</t>
  </si>
  <si>
    <t>Marketing and sales</t>
  </si>
  <si>
    <t>9.</t>
  </si>
  <si>
    <t>10.</t>
  </si>
  <si>
    <t>11.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</si>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</sst>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_-* #,##0.0\ _K_č_-;\-* #,##0.0\ _K_č_-;_-* &quot;-&quot;??\ _K_č_-;_-@_-"/>
    <numFmt numFmtId="165" formatCode="_-* #,##0\ _K_č_-;\-* #,##0\ _K_č_-;_-* &quot;-&quot;??\ _K_č_-;_-@_-"/>
    <numFmt numFmtId="166" formatCode="0.0000"/>
  </numFmts>
  <fonts count="19" x14ac:knownFonts="1">
    <font>
      <sz val="12"/>
      <name val="Times New Roman CE"/>
      <charset val="238"/>
    </font>
    <font>
      <sz val="11"/>
      <color theme="1"/>
      <name val="Calibri"/>
      <family val="2"/>
      <charset val="238"/>
      <scheme val="minor"/>
    </font>
    <font>
      <sz val="11"/>
      <color theme="1"/>
      <name val="Calibri"/>
      <family val="2"/>
      <charset val="238"/>
      <scheme val="minor"/>
    </font>
    <font>
      <sz val="12"/>
      <name val="Times New Roman CE"/>
      <charset val="238"/>
    </font>
    <font>
      <b/>
      <sz val="12"/>
      <name val="Times New Roman CE"/>
      <family val="1"/>
      <charset val="238"/>
    </font>
    <font>
      <sz val="12"/>
      <name val="Times New Roman CE"/>
      <family val="1"/>
      <charset val="238"/>
    </font>
    <font>
      <b/>
      <sz val="14"/>
      <name val="Times New Roman CE"/>
      <family val="1"/>
      <charset val="238"/>
    </font>
    <font>
      <sz val="12"/>
      <name val="Times New Roman CE"/>
      <charset val="238"/>
    </font>
    <font>
      <sz val="12"/>
      <name val="Times New Roman"/>
      <family val="1"/>
      <charset val="238"/>
    </font>
    <font>
      <b/>
      <sz val="12"/>
      <name val="Times New Roman CE"/>
      <charset val="238"/>
    </font>
    <font>
      <b/>
      <sz val="12"/>
      <name val="Times New Roman"/>
      <family val="1"/>
      <charset val="238"/>
    </font>
    <font>
      <b/>
      <sz val="12"/>
      <color rgb="FFFF0000"/>
      <name val="Times New Roman CE"/>
      <charset val="238"/>
    </font>
    <font>
      <b/>
      <sz val="16"/>
      <color theme="0"/>
      <name val="Times New Roman CE"/>
      <charset val="238"/>
    </font>
    <font>
      <b/>
      <sz val="9"/>
      <color rgb="FF000000"/>
      <name val="Tahoma"/>
      <family val="2"/>
      <charset val="238"/>
    </font>
    <font>
      <b/>
      <sz val="9"/>
      <color rgb="FFFF0000"/>
      <name val="Tahoma"/>
      <family val="2"/>
      <charset val="238"/>
    </font>
    <font>
      <b/>
      <sz val="9"/>
      <color rgb="FFFF0000"/>
      <name val="Tahoma"/>
      <family val="2"/>
    </font>
    <font>
      <sz val="12"/>
      <color theme="0" tint="-0.499984740745262"/>
      <name val="Times New Roman CE"/>
      <charset val="238"/>
    </font>
    <font>
      <b/>
      <sz val="14"/>
      <color rgb="FF000000"/>
      <name val="Arial"/>
      <family val="2"/>
      <charset val="238"/>
    </font>
    <font>
      <sz val="14"/>
      <color rgb="FF000000"/>
      <name val="Arial"/>
      <family val="2"/>
      <charset val="23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5">
    <xf numFmtId="0" fontId="0" fillId="0" borderId="0"/>
    <xf numFmtId="43" fontId="3" fillId="0" borderId="0" applyFont="0" applyFill="0" applyBorder="0" applyAlignment="0" applyProtection="0"/>
    <xf numFmtId="43" fontId="7" fillId="0" borderId="0" applyFont="0" applyFill="0" applyBorder="0" applyAlignment="0" applyProtection="0"/>
    <xf numFmtId="9" fontId="3" fillId="0" borderId="0" applyFont="0" applyFill="0" applyBorder="0" applyAlignment="0" applyProtection="0"/>
    <xf numFmtId="0" fontId="2" fillId="0" borderId="0"/>
  </cellStyleXfs>
  <cellXfs count="429">
    <xf numFmtId="0" fontId="0" fillId="0" borderId="0" xfId="0"/>
    <xf numFmtId="3" fontId="0" fillId="0" borderId="0" xfId="0" applyNumberFormat="1"/>
    <xf numFmtId="0" fontId="0" fillId="0" borderId="0" xfId="0" applyAlignment="1">
      <alignment horizontal="center"/>
    </xf>
    <xf numFmtId="0" fontId="0" fillId="0" borderId="1" xfId="0" applyBorder="1"/>
    <xf numFmtId="0" fontId="0" fillId="0" borderId="3" xfId="0" applyBorder="1"/>
    <xf numFmtId="0" fontId="0" fillId="0" borderId="2" xfId="0"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0" fillId="2" borderId="0" xfId="0" applyFill="1"/>
    <xf numFmtId="0" fontId="0" fillId="2" borderId="0" xfId="0" applyNumberFormat="1" applyFill="1"/>
    <xf numFmtId="3" fontId="0" fillId="2" borderId="0" xfId="0" applyNumberFormat="1" applyFill="1"/>
    <xf numFmtId="0" fontId="0" fillId="0" borderId="0" xfId="0" applyFill="1"/>
    <xf numFmtId="3" fontId="8" fillId="0" borderId="5" xfId="0" applyNumberFormat="1" applyFont="1" applyBorder="1" applyAlignment="1">
      <alignment horizontal="right" vertical="top" wrapText="1"/>
    </xf>
    <xf numFmtId="3" fontId="8" fillId="0" borderId="6" xfId="0" applyNumberFormat="1" applyFont="1" applyBorder="1" applyAlignment="1">
      <alignment horizontal="right" vertical="top" wrapText="1"/>
    </xf>
    <xf numFmtId="0" fontId="9" fillId="3" borderId="0" xfId="0" applyFont="1" applyFill="1"/>
    <xf numFmtId="0" fontId="0" fillId="3" borderId="0" xfId="0" applyFill="1"/>
    <xf numFmtId="0" fontId="9" fillId="3" borderId="0" xfId="0" applyFont="1" applyFill="1" applyAlignment="1">
      <alignment horizontal="right"/>
    </xf>
    <xf numFmtId="0" fontId="0" fillId="3" borderId="0" xfId="0" applyFill="1" applyAlignment="1">
      <alignment horizontal="right"/>
    </xf>
    <xf numFmtId="0" fontId="0" fillId="3" borderId="0" xfId="0" applyFill="1" applyProtection="1">
      <protection hidden="1"/>
    </xf>
    <xf numFmtId="0" fontId="0" fillId="3" borderId="1" xfId="0" applyFill="1" applyBorder="1" applyAlignment="1">
      <alignment horizontal="center"/>
    </xf>
    <xf numFmtId="0" fontId="0" fillId="3" borderId="26" xfId="0" applyFill="1" applyBorder="1" applyAlignment="1">
      <alignment horizontal="center"/>
    </xf>
    <xf numFmtId="0" fontId="0" fillId="3" borderId="2" xfId="0" applyFill="1" applyBorder="1" applyAlignment="1">
      <alignment horizontal="center"/>
    </xf>
    <xf numFmtId="0" fontId="0" fillId="3" borderId="1" xfId="0" applyFill="1" applyBorder="1"/>
    <xf numFmtId="3" fontId="0" fillId="3" borderId="26" xfId="0" applyNumberFormat="1" applyFill="1" applyBorder="1"/>
    <xf numFmtId="3" fontId="0" fillId="3" borderId="2" xfId="0" applyNumberFormat="1" applyFill="1" applyBorder="1"/>
    <xf numFmtId="0" fontId="0" fillId="3" borderId="23" xfId="0" applyFill="1" applyBorder="1"/>
    <xf numFmtId="0" fontId="0" fillId="3" borderId="3" xfId="0" applyFill="1" applyBorder="1"/>
    <xf numFmtId="3" fontId="0" fillId="3" borderId="5" xfId="0" applyNumberFormat="1" applyFill="1" applyBorder="1"/>
    <xf numFmtId="3" fontId="0" fillId="3" borderId="6" xfId="0" applyNumberFormat="1" applyFill="1" applyBorder="1"/>
    <xf numFmtId="3" fontId="5" fillId="3" borderId="26" xfId="0" applyNumberFormat="1" applyFont="1" applyFill="1" applyBorder="1"/>
    <xf numFmtId="3" fontId="5" fillId="3" borderId="2" xfId="0" applyNumberFormat="1" applyFont="1" applyFill="1" applyBorder="1"/>
    <xf numFmtId="0" fontId="0" fillId="3" borderId="16" xfId="0" applyFill="1" applyBorder="1"/>
    <xf numFmtId="0" fontId="0" fillId="3" borderId="0" xfId="0" applyFill="1" applyBorder="1"/>
    <xf numFmtId="3" fontId="0" fillId="3" borderId="17" xfId="0" applyNumberFormat="1" applyFill="1" applyBorder="1"/>
    <xf numFmtId="3" fontId="0" fillId="3" borderId="0" xfId="0" applyNumberFormat="1" applyFill="1"/>
    <xf numFmtId="3" fontId="0" fillId="3" borderId="0" xfId="0" applyNumberFormat="1" applyFill="1" applyBorder="1"/>
    <xf numFmtId="0" fontId="0" fillId="3" borderId="17" xfId="0" applyFill="1" applyBorder="1"/>
    <xf numFmtId="0" fontId="0" fillId="3" borderId="18" xfId="0" applyFill="1" applyBorder="1"/>
    <xf numFmtId="3" fontId="0" fillId="3" borderId="19" xfId="0" applyNumberFormat="1" applyFill="1" applyBorder="1"/>
    <xf numFmtId="0" fontId="0" fillId="3" borderId="19" xfId="0" applyFill="1" applyBorder="1"/>
    <xf numFmtId="0" fontId="0" fillId="3" borderId="20" xfId="0" applyFill="1" applyBorder="1"/>
    <xf numFmtId="0" fontId="6" fillId="3" borderId="0" xfId="0" applyFont="1" applyFill="1" applyAlignment="1">
      <alignment horizontal="center"/>
    </xf>
    <xf numFmtId="3" fontId="0" fillId="3" borderId="17" xfId="0" applyNumberFormat="1" applyFill="1" applyBorder="1" applyAlignment="1">
      <alignment horizontal="right"/>
    </xf>
    <xf numFmtId="0" fontId="0" fillId="3" borderId="21" xfId="0" applyFill="1" applyBorder="1"/>
    <xf numFmtId="3" fontId="0" fillId="3" borderId="20" xfId="0" applyNumberFormat="1" applyFill="1" applyBorder="1"/>
    <xf numFmtId="3" fontId="0" fillId="3" borderId="22" xfId="0" applyNumberFormat="1" applyFill="1" applyBorder="1"/>
    <xf numFmtId="0" fontId="10" fillId="3" borderId="15" xfId="0" applyNumberFormat="1" applyFont="1" applyFill="1" applyBorder="1" applyAlignment="1">
      <alignment horizontal="center" vertical="top" wrapText="1"/>
    </xf>
    <xf numFmtId="3" fontId="5" fillId="3" borderId="37" xfId="0" applyNumberFormat="1" applyFont="1" applyFill="1" applyBorder="1" applyAlignment="1">
      <alignment horizontal="right" vertical="top" wrapText="1"/>
    </xf>
    <xf numFmtId="3" fontId="5" fillId="3" borderId="25" xfId="0" applyNumberFormat="1" applyFont="1" applyFill="1" applyBorder="1" applyAlignment="1">
      <alignment horizontal="right" vertical="top" wrapText="1"/>
    </xf>
    <xf numFmtId="3" fontId="5" fillId="3" borderId="41" xfId="0" applyNumberFormat="1" applyFont="1" applyFill="1" applyBorder="1" applyAlignment="1">
      <alignment horizontal="right" vertical="top" wrapText="1"/>
    </xf>
    <xf numFmtId="3" fontId="5" fillId="3" borderId="26" xfId="0" applyNumberFormat="1" applyFont="1" applyFill="1" applyBorder="1" applyAlignment="1">
      <alignment horizontal="right" vertical="top" wrapText="1"/>
    </xf>
    <xf numFmtId="3" fontId="5" fillId="3" borderId="8" xfId="0" applyNumberFormat="1" applyFont="1" applyFill="1" applyBorder="1" applyAlignment="1">
      <alignment horizontal="right" vertical="top" wrapText="1"/>
    </xf>
    <xf numFmtId="3" fontId="5" fillId="3" borderId="2" xfId="0" applyNumberFormat="1" applyFont="1" applyFill="1" applyBorder="1" applyAlignment="1">
      <alignment horizontal="right" vertical="top" wrapText="1"/>
    </xf>
    <xf numFmtId="3" fontId="5" fillId="3" borderId="42" xfId="0" applyNumberFormat="1" applyFont="1" applyFill="1" applyBorder="1" applyAlignment="1">
      <alignment horizontal="right" vertical="top" wrapText="1"/>
    </xf>
    <xf numFmtId="1" fontId="0" fillId="3" borderId="0" xfId="0" applyNumberFormat="1" applyFill="1"/>
    <xf numFmtId="3" fontId="5" fillId="3" borderId="5" xfId="0" applyNumberFormat="1" applyFont="1" applyFill="1" applyBorder="1" applyAlignment="1">
      <alignment horizontal="right" vertical="top" wrapText="1"/>
    </xf>
    <xf numFmtId="3" fontId="5" fillId="3" borderId="6" xfId="0" applyNumberFormat="1" applyFont="1" applyFill="1" applyBorder="1" applyAlignment="1">
      <alignment horizontal="right" vertical="top" wrapText="1"/>
    </xf>
    <xf numFmtId="3" fontId="5" fillId="3" borderId="43" xfId="0" applyNumberFormat="1" applyFont="1" applyFill="1" applyBorder="1" applyAlignment="1">
      <alignment horizontal="right" vertical="top" wrapText="1"/>
    </xf>
    <xf numFmtId="3" fontId="0" fillId="3" borderId="24" xfId="0" applyNumberFormat="1" applyFill="1" applyBorder="1"/>
    <xf numFmtId="0" fontId="0" fillId="3" borderId="41" xfId="0" applyFill="1" applyBorder="1"/>
    <xf numFmtId="3" fontId="5" fillId="3" borderId="33" xfId="0" applyNumberFormat="1" applyFont="1" applyFill="1" applyBorder="1" applyAlignment="1">
      <alignment horizontal="right" vertical="top" wrapText="1"/>
    </xf>
    <xf numFmtId="3" fontId="5" fillId="3" borderId="44" xfId="0" applyNumberFormat="1" applyFont="1" applyFill="1" applyBorder="1" applyAlignment="1">
      <alignment horizontal="right" vertical="top" wrapText="1"/>
    </xf>
    <xf numFmtId="3" fontId="5" fillId="3" borderId="45" xfId="0" applyNumberFormat="1" applyFont="1" applyFill="1" applyBorder="1" applyAlignment="1">
      <alignment horizontal="right" vertical="top" wrapText="1"/>
    </xf>
    <xf numFmtId="2" fontId="0" fillId="3" borderId="0" xfId="0" applyNumberFormat="1" applyFill="1"/>
    <xf numFmtId="3" fontId="5" fillId="3" borderId="46" xfId="0" applyNumberFormat="1" applyFont="1" applyFill="1" applyBorder="1" applyAlignment="1">
      <alignment horizontal="right" vertical="top" wrapText="1"/>
    </xf>
    <xf numFmtId="0" fontId="11" fillId="3" borderId="0" xfId="0" applyFont="1" applyFill="1"/>
    <xf numFmtId="3" fontId="0" fillId="0" borderId="26" xfId="0" applyNumberFormat="1" applyFill="1" applyBorder="1"/>
    <xf numFmtId="164" fontId="7" fillId="0" borderId="2" xfId="1" applyNumberFormat="1" applyFont="1" applyFill="1" applyBorder="1"/>
    <xf numFmtId="164" fontId="7" fillId="0" borderId="6" xfId="1" applyNumberFormat="1" applyFont="1" applyFill="1" applyBorder="1"/>
    <xf numFmtId="0" fontId="10" fillId="3" borderId="28" xfId="0" applyNumberFormat="1" applyFont="1" applyFill="1" applyBorder="1" applyAlignment="1">
      <alignment horizontal="center" vertical="top" wrapText="1"/>
    </xf>
    <xf numFmtId="0" fontId="10" fillId="3" borderId="29" xfId="0" applyNumberFormat="1" applyFont="1" applyFill="1" applyBorder="1" applyAlignment="1">
      <alignment horizontal="center" vertical="top" wrapText="1"/>
    </xf>
    <xf numFmtId="0" fontId="10" fillId="3" borderId="30" xfId="0" applyNumberFormat="1" applyFont="1" applyFill="1" applyBorder="1" applyAlignment="1">
      <alignment horizontal="center" vertical="top" wrapText="1"/>
    </xf>
    <xf numFmtId="0" fontId="5" fillId="3" borderId="37" xfId="0" applyFont="1" applyFill="1" applyBorder="1" applyAlignment="1">
      <alignment horizontal="right" vertical="top" wrapText="1"/>
    </xf>
    <xf numFmtId="0" fontId="11" fillId="3" borderId="0" xfId="0" applyFont="1" applyFill="1" applyProtection="1">
      <protection hidden="1"/>
    </xf>
    <xf numFmtId="0" fontId="0" fillId="3" borderId="0" xfId="0" applyFill="1"/>
    <xf numFmtId="164" fontId="7" fillId="0" borderId="26" xfId="1" applyNumberFormat="1" applyFont="1" applyFill="1" applyBorder="1"/>
    <xf numFmtId="0" fontId="4" fillId="3" borderId="36" xfId="0" applyFont="1" applyFill="1" applyBorder="1" applyAlignment="1">
      <alignment horizontal="center"/>
    </xf>
    <xf numFmtId="0" fontId="4" fillId="3" borderId="37" xfId="0" applyFont="1" applyFill="1" applyBorder="1" applyAlignment="1">
      <alignment horizontal="center"/>
    </xf>
    <xf numFmtId="0" fontId="4" fillId="3" borderId="25" xfId="0" applyFont="1" applyFill="1" applyBorder="1" applyAlignment="1">
      <alignment horizontal="center"/>
    </xf>
    <xf numFmtId="164" fontId="7" fillId="0" borderId="5" xfId="1" applyNumberFormat="1" applyFont="1" applyFill="1" applyBorder="1"/>
    <xf numFmtId="3" fontId="0" fillId="0" borderId="17" xfId="0" applyNumberFormat="1" applyFill="1" applyBorder="1"/>
    <xf numFmtId="2" fontId="0" fillId="3" borderId="26" xfId="0" applyNumberFormat="1" applyFill="1" applyBorder="1"/>
    <xf numFmtId="2" fontId="0" fillId="3" borderId="2" xfId="0" applyNumberFormat="1" applyFill="1" applyBorder="1"/>
    <xf numFmtId="3" fontId="5" fillId="3" borderId="9" xfId="0" applyNumberFormat="1" applyFont="1" applyFill="1" applyBorder="1" applyAlignment="1">
      <alignment horizontal="right" vertical="top" wrapText="1"/>
    </xf>
    <xf numFmtId="3" fontId="0" fillId="3" borderId="36" xfId="0" applyNumberFormat="1" applyFill="1" applyBorder="1"/>
    <xf numFmtId="3" fontId="0" fillId="3" borderId="7" xfId="0" applyNumberFormat="1" applyFill="1" applyBorder="1"/>
    <xf numFmtId="3" fontId="0" fillId="3" borderId="53" xfId="0" applyNumberFormat="1" applyFill="1" applyBorder="1"/>
    <xf numFmtId="3" fontId="0" fillId="3" borderId="54" xfId="0" applyNumberFormat="1" applyFill="1" applyBorder="1"/>
    <xf numFmtId="3" fontId="0" fillId="3" borderId="36" xfId="0" applyNumberFormat="1" applyFill="1" applyBorder="1" applyAlignment="1">
      <alignment horizontal="right"/>
    </xf>
    <xf numFmtId="0" fontId="5" fillId="3" borderId="25" xfId="0" applyFont="1" applyFill="1" applyBorder="1" applyAlignment="1">
      <alignment horizontal="right" vertical="top" wrapText="1"/>
    </xf>
    <xf numFmtId="3" fontId="0" fillId="3" borderId="10" xfId="0" applyNumberFormat="1" applyFill="1" applyBorder="1"/>
    <xf numFmtId="3" fontId="0" fillId="3" borderId="41" xfId="0" applyNumberFormat="1" applyFill="1" applyBorder="1"/>
    <xf numFmtId="3" fontId="0" fillId="3" borderId="26" xfId="0" applyNumberFormat="1" applyFill="1" applyBorder="1" applyAlignment="1">
      <alignment horizontal="right"/>
    </xf>
    <xf numFmtId="3" fontId="0" fillId="3" borderId="2" xfId="0" applyNumberFormat="1" applyFill="1" applyBorder="1" applyAlignment="1">
      <alignment horizontal="right"/>
    </xf>
    <xf numFmtId="3" fontId="0" fillId="3" borderId="42" xfId="0" applyNumberFormat="1" applyFill="1" applyBorder="1"/>
    <xf numFmtId="3" fontId="0" fillId="3" borderId="33" xfId="0" applyNumberFormat="1" applyFill="1" applyBorder="1" applyAlignment="1">
      <alignment horizontal="right"/>
    </xf>
    <xf numFmtId="3" fontId="0" fillId="3" borderId="44" xfId="0" applyNumberFormat="1" applyFill="1" applyBorder="1" applyAlignment="1">
      <alignment horizontal="right"/>
    </xf>
    <xf numFmtId="3" fontId="0" fillId="3" borderId="45" xfId="0" applyNumberFormat="1" applyFill="1" applyBorder="1"/>
    <xf numFmtId="3" fontId="0" fillId="3" borderId="43" xfId="0" applyNumberFormat="1" applyFill="1" applyBorder="1"/>
    <xf numFmtId="3" fontId="0" fillId="3" borderId="46" xfId="0" applyNumberFormat="1" applyFill="1" applyBorder="1" applyAlignment="1">
      <alignment horizontal="right"/>
    </xf>
    <xf numFmtId="3" fontId="0" fillId="3" borderId="4" xfId="0" applyNumberFormat="1" applyFill="1" applyBorder="1" applyAlignment="1">
      <alignment horizontal="right"/>
    </xf>
    <xf numFmtId="3" fontId="0" fillId="3" borderId="50" xfId="0" applyNumberFormat="1" applyFill="1" applyBorder="1"/>
    <xf numFmtId="3" fontId="0" fillId="3" borderId="37" xfId="0" applyNumberFormat="1" applyFill="1" applyBorder="1" applyAlignment="1">
      <alignment horizontal="right"/>
    </xf>
    <xf numFmtId="3" fontId="0" fillId="3" borderId="25" xfId="0" applyNumberFormat="1" applyFill="1" applyBorder="1" applyAlignment="1">
      <alignment horizontal="right"/>
    </xf>
    <xf numFmtId="3" fontId="0" fillId="3" borderId="5" xfId="0" applyNumberFormat="1" applyFill="1" applyBorder="1" applyAlignment="1">
      <alignment horizontal="right"/>
    </xf>
    <xf numFmtId="3" fontId="0" fillId="3" borderId="6" xfId="0" applyNumberFormat="1" applyFill="1" applyBorder="1" applyAlignment="1">
      <alignment horizontal="right"/>
    </xf>
    <xf numFmtId="3" fontId="0" fillId="3" borderId="8" xfId="0" applyNumberFormat="1" applyFill="1" applyBorder="1" applyAlignment="1">
      <alignment horizontal="right"/>
    </xf>
    <xf numFmtId="3" fontId="0" fillId="3" borderId="9" xfId="0" applyNumberFormat="1" applyFill="1" applyBorder="1" applyAlignment="1">
      <alignment horizontal="right"/>
    </xf>
    <xf numFmtId="3" fontId="0" fillId="3" borderId="4" xfId="0" applyNumberFormat="1" applyFill="1" applyBorder="1"/>
    <xf numFmtId="3" fontId="0" fillId="3" borderId="7" xfId="3" applyNumberFormat="1" applyFont="1" applyFill="1" applyBorder="1" applyAlignment="1">
      <alignment horizontal="right"/>
    </xf>
    <xf numFmtId="3" fontId="5" fillId="3" borderId="26" xfId="3" applyNumberFormat="1" applyFont="1" applyFill="1" applyBorder="1" applyAlignment="1">
      <alignment horizontal="right" vertical="top" wrapText="1"/>
    </xf>
    <xf numFmtId="3" fontId="5" fillId="3" borderId="2" xfId="3" applyNumberFormat="1" applyFont="1" applyFill="1" applyBorder="1" applyAlignment="1">
      <alignment horizontal="right" vertical="top" wrapText="1"/>
    </xf>
    <xf numFmtId="0" fontId="12" fillId="5" borderId="0" xfId="0" applyFont="1" applyFill="1" applyAlignment="1">
      <alignment horizontal="center"/>
    </xf>
    <xf numFmtId="0" fontId="0" fillId="0" borderId="0" xfId="0" applyAlignment="1">
      <alignment horizontal="right"/>
    </xf>
    <xf numFmtId="0" fontId="8" fillId="3" borderId="14" xfId="0" applyFont="1" applyFill="1" applyBorder="1" applyAlignment="1">
      <alignment vertical="top" wrapText="1"/>
    </xf>
    <xf numFmtId="0" fontId="8" fillId="3" borderId="12" xfId="0" applyFont="1" applyFill="1" applyBorder="1" applyAlignment="1">
      <alignment vertical="top" wrapText="1"/>
    </xf>
    <xf numFmtId="0" fontId="8" fillId="3" borderId="35" xfId="0" applyFont="1" applyFill="1" applyBorder="1" applyAlignment="1">
      <alignment vertical="top" wrapText="1"/>
    </xf>
    <xf numFmtId="0" fontId="8" fillId="3" borderId="11" xfId="0" applyFont="1" applyFill="1" applyBorder="1" applyAlignment="1">
      <alignment vertical="top" wrapText="1"/>
    </xf>
    <xf numFmtId="0" fontId="8" fillId="3" borderId="13" xfId="0" applyFont="1" applyFill="1" applyBorder="1" applyAlignment="1">
      <alignment vertical="top" wrapText="1"/>
    </xf>
    <xf numFmtId="0" fontId="8" fillId="3" borderId="14" xfId="0" applyFont="1" applyFill="1" applyBorder="1" applyAlignment="1">
      <alignment wrapText="1"/>
    </xf>
    <xf numFmtId="0" fontId="8" fillId="3" borderId="11" xfId="0" applyFont="1" applyFill="1" applyBorder="1"/>
    <xf numFmtId="0" fontId="8" fillId="3" borderId="12" xfId="0" quotePrefix="1" applyFont="1" applyFill="1" applyBorder="1" applyAlignment="1">
      <alignment horizontal="left"/>
    </xf>
    <xf numFmtId="0" fontId="8" fillId="3" borderId="13" xfId="0" quotePrefix="1" applyFont="1" applyFill="1" applyBorder="1"/>
    <xf numFmtId="0" fontId="8" fillId="3" borderId="15" xfId="0" applyFont="1" applyFill="1" applyBorder="1"/>
    <xf numFmtId="0" fontId="8" fillId="3" borderId="14" xfId="0" applyFont="1" applyFill="1" applyBorder="1"/>
    <xf numFmtId="0" fontId="8" fillId="3" borderId="12" xfId="0" quotePrefix="1" applyFont="1" applyFill="1" applyBorder="1" applyAlignment="1">
      <alignment wrapText="1"/>
    </xf>
    <xf numFmtId="0" fontId="8" fillId="3" borderId="12" xfId="0" applyFont="1" applyFill="1" applyBorder="1" applyAlignment="1">
      <alignment horizontal="left"/>
    </xf>
    <xf numFmtId="0" fontId="8" fillId="3" borderId="12" xfId="0" applyFont="1" applyFill="1" applyBorder="1"/>
    <xf numFmtId="0" fontId="8" fillId="3" borderId="13" xfId="0" applyFont="1" applyFill="1" applyBorder="1"/>
    <xf numFmtId="0" fontId="8" fillId="3" borderId="35" xfId="0" applyFont="1" applyFill="1" applyBorder="1"/>
    <xf numFmtId="3" fontId="0" fillId="0" borderId="0" xfId="0" applyNumberFormat="1" applyFill="1"/>
    <xf numFmtId="4" fontId="0" fillId="0" borderId="0" xfId="0" applyNumberFormat="1" applyFill="1"/>
    <xf numFmtId="0" fontId="0" fillId="0" borderId="0" xfId="0" applyFill="1" applyBorder="1"/>
    <xf numFmtId="0" fontId="0" fillId="0" borderId="1" xfId="0" applyFill="1" applyBorder="1" applyAlignment="1">
      <alignment horizontal="center"/>
    </xf>
    <xf numFmtId="0" fontId="0" fillId="0" borderId="26" xfId="0" applyFill="1" applyBorder="1" applyAlignment="1">
      <alignment horizontal="center"/>
    </xf>
    <xf numFmtId="0" fontId="0" fillId="0" borderId="2" xfId="0" applyFill="1" applyBorder="1" applyAlignment="1">
      <alignment horizontal="center"/>
    </xf>
    <xf numFmtId="3" fontId="0" fillId="0" borderId="0" xfId="0" applyNumberFormat="1" applyFill="1" applyBorder="1"/>
    <xf numFmtId="0" fontId="0" fillId="0" borderId="1" xfId="0" applyFill="1" applyBorder="1"/>
    <xf numFmtId="3" fontId="8" fillId="0" borderId="26" xfId="0" applyNumberFormat="1" applyFont="1" applyFill="1" applyBorder="1" applyAlignment="1">
      <alignment horizontal="right" vertical="top" wrapText="1"/>
    </xf>
    <xf numFmtId="3" fontId="8" fillId="0" borderId="2" xfId="0" applyNumberFormat="1" applyFont="1" applyFill="1" applyBorder="1" applyAlignment="1">
      <alignment horizontal="right" vertical="top" wrapText="1"/>
    </xf>
    <xf numFmtId="0" fontId="8" fillId="0" borderId="2" xfId="0" applyFont="1" applyFill="1" applyBorder="1" applyAlignment="1">
      <alignment horizontal="right" vertical="top" wrapText="1"/>
    </xf>
    <xf numFmtId="0" fontId="0" fillId="0" borderId="3" xfId="0" applyFill="1" applyBorder="1"/>
    <xf numFmtId="3" fontId="8" fillId="0" borderId="5" xfId="0" applyNumberFormat="1" applyFont="1" applyFill="1" applyBorder="1" applyAlignment="1">
      <alignment horizontal="right" vertical="top" wrapText="1"/>
    </xf>
    <xf numFmtId="3" fontId="8" fillId="0" borderId="6" xfId="0" applyNumberFormat="1" applyFont="1" applyFill="1" applyBorder="1" applyAlignment="1">
      <alignment horizontal="right" vertical="top" wrapText="1"/>
    </xf>
    <xf numFmtId="0" fontId="0" fillId="0" borderId="0" xfId="0" applyFill="1" applyBorder="1" applyAlignment="1">
      <alignment horizontal="center"/>
    </xf>
    <xf numFmtId="3" fontId="8" fillId="0" borderId="26" xfId="0" applyNumberFormat="1" applyFont="1" applyFill="1" applyBorder="1" applyAlignment="1">
      <alignment horizontal="right" wrapText="1"/>
    </xf>
    <xf numFmtId="3" fontId="8" fillId="0" borderId="5" xfId="0" applyNumberFormat="1" applyFont="1" applyFill="1" applyBorder="1" applyAlignment="1">
      <alignment horizontal="right" wrapText="1"/>
    </xf>
    <xf numFmtId="3" fontId="8" fillId="0" borderId="6" xfId="0" applyNumberFormat="1" applyFont="1" applyFill="1" applyBorder="1" applyAlignment="1">
      <alignment horizontal="right" wrapText="1"/>
    </xf>
    <xf numFmtId="0" fontId="0" fillId="0" borderId="16" xfId="0" applyFill="1" applyBorder="1"/>
    <xf numFmtId="0" fontId="0" fillId="0" borderId="17" xfId="0" applyFill="1" applyBorder="1"/>
    <xf numFmtId="0" fontId="0" fillId="0" borderId="18" xfId="0" applyFill="1" applyBorder="1"/>
    <xf numFmtId="3" fontId="0" fillId="0" borderId="19" xfId="0" applyNumberFormat="1" applyFill="1" applyBorder="1"/>
    <xf numFmtId="0" fontId="0" fillId="0" borderId="19" xfId="0" applyFill="1" applyBorder="1"/>
    <xf numFmtId="0" fontId="0" fillId="0" borderId="20" xfId="0" applyFill="1" applyBorder="1"/>
    <xf numFmtId="0" fontId="6" fillId="0" borderId="0" xfId="0" applyFont="1" applyFill="1" applyAlignment="1">
      <alignment horizontal="center"/>
    </xf>
    <xf numFmtId="3" fontId="8" fillId="0" borderId="17" xfId="0" applyNumberFormat="1" applyFont="1" applyFill="1" applyBorder="1"/>
    <xf numFmtId="0" fontId="10" fillId="0" borderId="15" xfId="0" applyNumberFormat="1" applyFont="1" applyFill="1" applyBorder="1" applyAlignment="1">
      <alignment horizontal="center" vertical="top" wrapText="1"/>
    </xf>
    <xf numFmtId="49" fontId="10" fillId="0" borderId="28" xfId="0" applyNumberFormat="1" applyFont="1" applyFill="1" applyBorder="1" applyAlignment="1">
      <alignment horizontal="center" vertical="top" wrapText="1"/>
    </xf>
    <xf numFmtId="49" fontId="10" fillId="0" borderId="29" xfId="0" applyNumberFormat="1" applyFont="1" applyFill="1" applyBorder="1" applyAlignment="1">
      <alignment horizontal="center" vertical="top" wrapText="1"/>
    </xf>
    <xf numFmtId="49" fontId="10" fillId="0" borderId="30" xfId="0" applyNumberFormat="1" applyFont="1" applyFill="1" applyBorder="1" applyAlignment="1">
      <alignment horizontal="center" vertical="top" wrapText="1"/>
    </xf>
    <xf numFmtId="3" fontId="8" fillId="0" borderId="36" xfId="0" applyNumberFormat="1" applyFont="1" applyFill="1" applyBorder="1" applyAlignment="1">
      <alignment horizontal="right"/>
    </xf>
    <xf numFmtId="3" fontId="8" fillId="0" borderId="37" xfId="0" applyNumberFormat="1" applyFont="1" applyFill="1" applyBorder="1" applyAlignment="1">
      <alignment horizontal="right"/>
    </xf>
    <xf numFmtId="3" fontId="8" fillId="0" borderId="40" xfId="0" applyNumberFormat="1" applyFont="1" applyFill="1" applyBorder="1" applyAlignment="1">
      <alignment horizontal="right"/>
    </xf>
    <xf numFmtId="3" fontId="8" fillId="0" borderId="11" xfId="0" applyNumberFormat="1" applyFont="1" applyFill="1" applyBorder="1" applyAlignment="1">
      <alignment horizontal="right" vertical="top" wrapText="1"/>
    </xf>
    <xf numFmtId="3" fontId="8" fillId="0" borderId="1" xfId="0" applyNumberFormat="1" applyFont="1" applyFill="1" applyBorder="1" applyAlignment="1">
      <alignment horizontal="right"/>
    </xf>
    <xf numFmtId="3" fontId="8" fillId="0" borderId="26" xfId="0" applyNumberFormat="1" applyFont="1" applyFill="1" applyBorder="1" applyAlignment="1">
      <alignment horizontal="right"/>
    </xf>
    <xf numFmtId="3" fontId="8" fillId="0" borderId="27" xfId="0" applyNumberFormat="1" applyFont="1" applyFill="1" applyBorder="1" applyAlignment="1">
      <alignment horizontal="right"/>
    </xf>
    <xf numFmtId="3" fontId="8" fillId="0" borderId="12" xfId="0" applyNumberFormat="1" applyFont="1" applyFill="1" applyBorder="1" applyAlignment="1">
      <alignment horizontal="right" vertical="top" wrapText="1"/>
    </xf>
    <xf numFmtId="3" fontId="8" fillId="0" borderId="1" xfId="0" applyNumberFormat="1" applyFont="1" applyFill="1" applyBorder="1" applyAlignment="1">
      <alignment horizontal="right" vertical="top" wrapText="1"/>
    </xf>
    <xf numFmtId="3" fontId="8" fillId="0" borderId="27" xfId="0" applyNumberFormat="1" applyFont="1" applyFill="1" applyBorder="1" applyAlignment="1">
      <alignment horizontal="right" vertical="top" wrapText="1"/>
    </xf>
    <xf numFmtId="3" fontId="0" fillId="0" borderId="20" xfId="0" applyNumberFormat="1" applyFill="1" applyBorder="1"/>
    <xf numFmtId="0" fontId="8" fillId="0" borderId="26" xfId="0" applyFont="1" applyFill="1" applyBorder="1" applyAlignment="1">
      <alignment horizontal="right" vertical="top" wrapText="1"/>
    </xf>
    <xf numFmtId="3" fontId="8" fillId="0" borderId="32" xfId="0" applyNumberFormat="1" applyFont="1" applyFill="1" applyBorder="1" applyAlignment="1">
      <alignment horizontal="right" vertical="top" wrapText="1"/>
    </xf>
    <xf numFmtId="3" fontId="8" fillId="0" borderId="34" xfId="0" applyNumberFormat="1" applyFont="1" applyFill="1" applyBorder="1" applyAlignment="1">
      <alignment horizontal="right" vertical="top" wrapText="1"/>
    </xf>
    <xf numFmtId="3" fontId="8" fillId="0" borderId="35" xfId="0" applyNumberFormat="1" applyFont="1" applyFill="1" applyBorder="1" applyAlignment="1">
      <alignment horizontal="right" vertical="top" wrapText="1"/>
    </xf>
    <xf numFmtId="3" fontId="8" fillId="0" borderId="33" xfId="0" applyNumberFormat="1" applyFont="1" applyFill="1" applyBorder="1" applyAlignment="1">
      <alignment horizontal="right" vertical="top" wrapText="1"/>
    </xf>
    <xf numFmtId="3" fontId="8" fillId="0" borderId="36" xfId="0" applyNumberFormat="1" applyFont="1" applyFill="1" applyBorder="1" applyAlignment="1">
      <alignment horizontal="right" vertical="top" wrapText="1"/>
    </xf>
    <xf numFmtId="3" fontId="8" fillId="0" borderId="40" xfId="0" applyNumberFormat="1" applyFont="1" applyFill="1" applyBorder="1" applyAlignment="1">
      <alignment horizontal="right" vertical="top" wrapText="1"/>
    </xf>
    <xf numFmtId="0" fontId="0" fillId="0" borderId="23" xfId="0" applyFill="1" applyBorder="1"/>
    <xf numFmtId="0" fontId="8" fillId="0" borderId="12" xfId="0" applyFont="1" applyFill="1" applyBorder="1" applyAlignment="1">
      <alignment horizontal="right"/>
    </xf>
    <xf numFmtId="3" fontId="8" fillId="0" borderId="17" xfId="0" applyNumberFormat="1" applyFont="1" applyFill="1" applyBorder="1" applyAlignment="1">
      <alignment horizontal="right" wrapText="1"/>
    </xf>
    <xf numFmtId="3" fontId="8" fillId="0" borderId="3" xfId="0" applyNumberFormat="1" applyFont="1" applyFill="1" applyBorder="1" applyAlignment="1">
      <alignment horizontal="right" vertical="top" wrapText="1"/>
    </xf>
    <xf numFmtId="3" fontId="8" fillId="0" borderId="39" xfId="0" applyNumberFormat="1" applyFont="1" applyFill="1" applyBorder="1" applyAlignment="1">
      <alignment horizontal="right" vertical="top" wrapText="1"/>
    </xf>
    <xf numFmtId="0" fontId="8" fillId="0" borderId="13" xfId="0" applyFont="1" applyFill="1" applyBorder="1" applyAlignment="1">
      <alignment horizontal="right"/>
    </xf>
    <xf numFmtId="3" fontId="8" fillId="0" borderId="7" xfId="0" applyNumberFormat="1" applyFont="1" applyFill="1" applyBorder="1" applyAlignment="1">
      <alignment horizontal="right" vertical="top" wrapText="1"/>
    </xf>
    <xf numFmtId="3" fontId="8" fillId="0" borderId="8" xfId="0" applyNumberFormat="1" applyFont="1" applyFill="1" applyBorder="1" applyAlignment="1">
      <alignment horizontal="right" vertical="top" wrapText="1"/>
    </xf>
    <xf numFmtId="3" fontId="8" fillId="0" borderId="38" xfId="0" applyNumberFormat="1" applyFont="1" applyFill="1" applyBorder="1" applyAlignment="1">
      <alignment horizontal="right" vertical="top" wrapText="1"/>
    </xf>
    <xf numFmtId="0" fontId="8" fillId="0" borderId="14" xfId="0" applyFont="1" applyFill="1" applyBorder="1" applyAlignment="1">
      <alignment horizontal="right"/>
    </xf>
    <xf numFmtId="3" fontId="8" fillId="0" borderId="24" xfId="0" applyNumberFormat="1" applyFont="1" applyFill="1" applyBorder="1" applyAlignment="1">
      <alignment horizontal="right" wrapText="1"/>
    </xf>
    <xf numFmtId="9" fontId="8" fillId="0" borderId="7" xfId="3" applyFont="1" applyFill="1" applyBorder="1" applyAlignment="1">
      <alignment horizontal="right" vertical="top" wrapText="1"/>
    </xf>
    <xf numFmtId="9" fontId="8" fillId="0" borderId="32" xfId="3" applyFont="1" applyFill="1" applyBorder="1" applyAlignment="1">
      <alignment horizontal="right" vertical="top" wrapText="1"/>
    </xf>
    <xf numFmtId="0" fontId="8" fillId="0" borderId="33" xfId="0" applyNumberFormat="1" applyFont="1" applyFill="1" applyBorder="1" applyAlignment="1">
      <alignment horizontal="right" vertical="top" wrapText="1"/>
    </xf>
    <xf numFmtId="0" fontId="8" fillId="0" borderId="34" xfId="0" applyNumberFormat="1" applyFont="1" applyFill="1" applyBorder="1" applyAlignment="1">
      <alignment horizontal="right" vertical="top" wrapText="1"/>
    </xf>
    <xf numFmtId="0" fontId="8" fillId="0" borderId="35" xfId="0" applyFont="1" applyFill="1" applyBorder="1" applyAlignment="1">
      <alignment horizontal="right"/>
    </xf>
    <xf numFmtId="0" fontId="8" fillId="0" borderId="37" xfId="0" applyNumberFormat="1" applyFont="1" applyFill="1" applyBorder="1" applyAlignment="1">
      <alignment horizontal="right" vertical="top" wrapText="1"/>
    </xf>
    <xf numFmtId="0" fontId="8" fillId="0" borderId="40" xfId="0" applyNumberFormat="1" applyFont="1" applyFill="1" applyBorder="1" applyAlignment="1">
      <alignment horizontal="right" vertical="top" wrapText="1"/>
    </xf>
    <xf numFmtId="0" fontId="8" fillId="0" borderId="11" xfId="0" applyFont="1" applyFill="1" applyBorder="1" applyAlignment="1">
      <alignment horizontal="right"/>
    </xf>
    <xf numFmtId="0" fontId="8" fillId="0" borderId="26" xfId="0" applyFont="1" applyFill="1" applyBorder="1" applyAlignment="1">
      <alignment horizontal="right"/>
    </xf>
    <xf numFmtId="0" fontId="8" fillId="0" borderId="27" xfId="0" applyFont="1" applyFill="1" applyBorder="1" applyAlignment="1">
      <alignment horizontal="right"/>
    </xf>
    <xf numFmtId="0" fontId="8" fillId="0" borderId="27" xfId="0" applyFont="1" applyFill="1" applyBorder="1" applyAlignment="1">
      <alignment horizontal="right" vertical="top" wrapText="1"/>
    </xf>
    <xf numFmtId="3" fontId="8" fillId="0" borderId="3" xfId="0" applyNumberFormat="1" applyFont="1" applyFill="1" applyBorder="1" applyAlignment="1">
      <alignment horizontal="right"/>
    </xf>
    <xf numFmtId="3" fontId="8" fillId="0" borderId="5" xfId="0" applyNumberFormat="1" applyFont="1" applyFill="1" applyBorder="1" applyAlignment="1">
      <alignment horizontal="right"/>
    </xf>
    <xf numFmtId="3" fontId="8" fillId="0" borderId="39" xfId="0" applyNumberFormat="1" applyFont="1" applyFill="1" applyBorder="1" applyAlignment="1">
      <alignment horizontal="right"/>
    </xf>
    <xf numFmtId="0" fontId="8" fillId="0" borderId="10" xfId="0" applyFont="1" applyFill="1" applyBorder="1" applyAlignment="1">
      <alignment horizontal="right"/>
    </xf>
    <xf numFmtId="0" fontId="8" fillId="0" borderId="46" xfId="0" applyFont="1" applyFill="1" applyBorder="1" applyAlignment="1">
      <alignment horizontal="right"/>
    </xf>
    <xf numFmtId="0" fontId="8" fillId="0" borderId="52" xfId="0" applyFont="1" applyFill="1" applyBorder="1" applyAlignment="1">
      <alignment horizontal="right"/>
    </xf>
    <xf numFmtId="3" fontId="8" fillId="0" borderId="15" xfId="0" applyNumberFormat="1" applyFont="1" applyFill="1" applyBorder="1" applyAlignment="1">
      <alignment horizontal="right" vertical="top" wrapText="1"/>
    </xf>
    <xf numFmtId="3" fontId="8" fillId="0" borderId="37" xfId="0" applyNumberFormat="1" applyFont="1" applyFill="1" applyBorder="1" applyAlignment="1">
      <alignment horizontal="right" vertical="top" wrapText="1"/>
    </xf>
    <xf numFmtId="3" fontId="8" fillId="0" borderId="25" xfId="0" applyNumberFormat="1" applyFont="1" applyFill="1" applyBorder="1" applyAlignment="1">
      <alignment horizontal="right" vertical="top" wrapText="1"/>
    </xf>
    <xf numFmtId="0" fontId="8" fillId="0" borderId="41" xfId="0" applyFont="1" applyFill="1" applyBorder="1" applyAlignment="1">
      <alignment horizontal="right"/>
    </xf>
    <xf numFmtId="0" fontId="8" fillId="0" borderId="42" xfId="0" applyFont="1" applyFill="1" applyBorder="1" applyAlignment="1">
      <alignment horizontal="right"/>
    </xf>
    <xf numFmtId="0" fontId="0" fillId="0" borderId="21" xfId="0" applyFill="1" applyBorder="1"/>
    <xf numFmtId="3" fontId="8" fillId="0" borderId="2" xfId="0" applyNumberFormat="1" applyFont="1" applyFill="1" applyBorder="1" applyAlignment="1">
      <alignment horizontal="right"/>
    </xf>
    <xf numFmtId="3" fontId="8" fillId="0" borderId="3" xfId="0" applyNumberFormat="1" applyFont="1" applyFill="1" applyBorder="1" applyAlignment="1">
      <alignment horizontal="right" wrapText="1"/>
    </xf>
    <xf numFmtId="3" fontId="8" fillId="0" borderId="43" xfId="0" applyNumberFormat="1" applyFont="1" applyFill="1" applyBorder="1" applyAlignment="1">
      <alignment horizontal="right" vertical="top" wrapText="1"/>
    </xf>
    <xf numFmtId="2" fontId="0" fillId="0" borderId="0" xfId="0" applyNumberFormat="1" applyFill="1"/>
    <xf numFmtId="3" fontId="8" fillId="0" borderId="39" xfId="0" applyNumberFormat="1" applyFont="1" applyFill="1" applyBorder="1" applyAlignment="1">
      <alignment horizontal="right" wrapText="1"/>
    </xf>
    <xf numFmtId="3" fontId="8" fillId="0" borderId="13" xfId="0" applyNumberFormat="1" applyFont="1" applyFill="1" applyBorder="1" applyAlignment="1">
      <alignment horizontal="right"/>
    </xf>
    <xf numFmtId="3" fontId="8" fillId="0" borderId="36" xfId="0" applyNumberFormat="1" applyFont="1" applyFill="1" applyBorder="1" applyAlignment="1">
      <alignment horizontal="right" wrapText="1"/>
    </xf>
    <xf numFmtId="3" fontId="8" fillId="0" borderId="37" xfId="0" applyNumberFormat="1" applyFont="1" applyFill="1" applyBorder="1" applyAlignment="1">
      <alignment horizontal="right" wrapText="1"/>
    </xf>
    <xf numFmtId="3" fontId="8" fillId="0" borderId="40" xfId="0" applyNumberFormat="1" applyFont="1" applyFill="1" applyBorder="1" applyAlignment="1">
      <alignment horizontal="right" wrapText="1"/>
    </xf>
    <xf numFmtId="3" fontId="8" fillId="0" borderId="12" xfId="0" applyNumberFormat="1" applyFont="1" applyFill="1" applyBorder="1" applyAlignment="1">
      <alignment horizontal="right"/>
    </xf>
    <xf numFmtId="3" fontId="8" fillId="0" borderId="13" xfId="0" applyNumberFormat="1" applyFont="1" applyFill="1" applyBorder="1" applyAlignment="1">
      <alignment horizontal="right" vertical="top" wrapText="1"/>
    </xf>
    <xf numFmtId="0" fontId="8" fillId="0" borderId="10" xfId="0" applyFont="1" applyFill="1" applyBorder="1" applyAlignment="1">
      <alignment horizontal="right" vertical="top" wrapText="1"/>
    </xf>
    <xf numFmtId="0" fontId="8" fillId="0" borderId="46" xfId="0" applyFont="1" applyFill="1" applyBorder="1" applyAlignment="1">
      <alignment horizontal="right" vertical="top" wrapText="1"/>
    </xf>
    <xf numFmtId="0" fontId="8" fillId="0" borderId="52" xfId="0" applyFont="1" applyFill="1" applyBorder="1" applyAlignment="1">
      <alignment horizontal="right" vertical="top" wrapText="1"/>
    </xf>
    <xf numFmtId="9" fontId="8" fillId="0" borderId="1" xfId="3" applyFont="1" applyFill="1" applyBorder="1" applyAlignment="1">
      <alignment horizontal="right" vertical="top" wrapText="1"/>
    </xf>
    <xf numFmtId="9" fontId="8" fillId="0" borderId="8" xfId="3" applyFont="1" applyFill="1" applyBorder="1" applyAlignment="1">
      <alignment horizontal="right" vertical="top" wrapText="1"/>
    </xf>
    <xf numFmtId="9" fontId="8" fillId="0" borderId="33" xfId="3" applyFont="1" applyFill="1" applyBorder="1" applyAlignment="1">
      <alignment horizontal="right" vertical="top" wrapText="1"/>
    </xf>
    <xf numFmtId="3" fontId="8" fillId="0" borderId="9" xfId="0" applyNumberFormat="1" applyFont="1" applyFill="1" applyBorder="1" applyAlignment="1">
      <alignment horizontal="right" vertical="top" wrapText="1"/>
    </xf>
    <xf numFmtId="9" fontId="8" fillId="0" borderId="26" xfId="3" applyFont="1" applyFill="1" applyBorder="1" applyAlignment="1">
      <alignment horizontal="right" vertical="top" wrapText="1"/>
    </xf>
    <xf numFmtId="0" fontId="0" fillId="3" borderId="0" xfId="0" applyFill="1" applyAlignment="1">
      <alignment horizontal="center"/>
    </xf>
    <xf numFmtId="165" fontId="0" fillId="3" borderId="0" xfId="1" applyNumberFormat="1" applyFont="1" applyFill="1"/>
    <xf numFmtId="165" fontId="0" fillId="3" borderId="0" xfId="0" applyNumberFormat="1" applyFill="1"/>
    <xf numFmtId="0" fontId="0" fillId="0" borderId="0" xfId="0" applyFill="1" applyAlignment="1"/>
    <xf numFmtId="0" fontId="0" fillId="0" borderId="17" xfId="0" applyFill="1" applyBorder="1" applyAlignment="1"/>
    <xf numFmtId="0" fontId="15" fillId="0" borderId="0" xfId="0" applyFont="1" applyAlignment="1">
      <alignment horizontal="left" vertical="center" readingOrder="1"/>
    </xf>
    <xf numFmtId="3"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4" fontId="8" fillId="0" borderId="2" xfId="0" applyNumberFormat="1" applyFont="1" applyFill="1" applyBorder="1" applyAlignment="1">
      <alignment horizontal="right" vertical="top" wrapText="1"/>
    </xf>
    <xf numFmtId="4" fontId="8" fillId="0" borderId="26" xfId="0" applyNumberFormat="1" applyFont="1" applyFill="1" applyBorder="1" applyAlignment="1">
      <alignment horizontal="right" vertical="top" wrapText="1"/>
    </xf>
    <xf numFmtId="3" fontId="0" fillId="0" borderId="16" xfId="0" applyNumberFormat="1" applyFill="1" applyBorder="1" applyAlignment="1"/>
    <xf numFmtId="3" fontId="0" fillId="0" borderId="0" xfId="0" applyNumberFormat="1" applyFill="1" applyAlignment="1"/>
    <xf numFmtId="0" fontId="10" fillId="0" borderId="26" xfId="0" applyNumberFormat="1" applyFont="1" applyFill="1" applyBorder="1" applyAlignment="1">
      <alignment horizontal="center" vertical="top" wrapText="1"/>
    </xf>
    <xf numFmtId="1" fontId="10" fillId="0" borderId="26" xfId="0" applyNumberFormat="1" applyFont="1" applyFill="1" applyBorder="1" applyAlignment="1">
      <alignment horizontal="center" vertical="top" wrapText="1"/>
    </xf>
    <xf numFmtId="2" fontId="8" fillId="0" borderId="26" xfId="0" applyNumberFormat="1" applyFont="1" applyFill="1" applyBorder="1" applyAlignment="1">
      <alignment horizontal="right"/>
    </xf>
    <xf numFmtId="0" fontId="8" fillId="0" borderId="26" xfId="0" applyNumberFormat="1" applyFont="1" applyFill="1" applyBorder="1" applyAlignment="1">
      <alignment horizontal="right" vertical="top" wrapText="1"/>
    </xf>
    <xf numFmtId="0" fontId="0" fillId="3" borderId="17" xfId="0" applyFill="1" applyBorder="1" applyAlignment="1"/>
    <xf numFmtId="3" fontId="3" fillId="3" borderId="54" xfId="3" applyNumberFormat="1" applyFont="1" applyFill="1" applyBorder="1"/>
    <xf numFmtId="0" fontId="16" fillId="3" borderId="0" xfId="0" applyFont="1" applyFill="1" applyProtection="1">
      <protection hidden="1"/>
    </xf>
    <xf numFmtId="0" fontId="0" fillId="0" borderId="26" xfId="0" applyFill="1" applyBorder="1"/>
    <xf numFmtId="0" fontId="10" fillId="3" borderId="15" xfId="0" applyFont="1" applyFill="1" applyBorder="1" applyAlignment="1">
      <alignment horizontal="center" vertical="top" wrapText="1"/>
    </xf>
    <xf numFmtId="0" fontId="10" fillId="0" borderId="15" xfId="0" applyFont="1" applyFill="1" applyBorder="1" applyAlignment="1">
      <alignment horizontal="center" vertical="top" wrapText="1"/>
    </xf>
    <xf numFmtId="0" fontId="8" fillId="0" borderId="14" xfId="0" applyFont="1" applyFill="1" applyBorder="1" applyAlignment="1">
      <alignment vertical="top" wrapText="1"/>
    </xf>
    <xf numFmtId="0" fontId="8" fillId="0" borderId="12" xfId="0" applyFont="1" applyFill="1" applyBorder="1" applyAlignment="1">
      <alignment vertical="top" wrapText="1"/>
    </xf>
    <xf numFmtId="0" fontId="8" fillId="0" borderId="35" xfId="0" applyFont="1" applyFill="1" applyBorder="1" applyAlignment="1">
      <alignment vertical="top" wrapText="1"/>
    </xf>
    <xf numFmtId="0" fontId="8" fillId="0" borderId="11" xfId="0" applyFont="1" applyFill="1" applyBorder="1" applyAlignment="1">
      <alignment vertical="top" wrapText="1"/>
    </xf>
    <xf numFmtId="0" fontId="8" fillId="0" borderId="13" xfId="0" applyFont="1" applyFill="1" applyBorder="1" applyAlignment="1">
      <alignment vertical="top" wrapText="1"/>
    </xf>
    <xf numFmtId="0" fontId="8" fillId="0" borderId="14" xfId="0" applyFont="1" applyFill="1" applyBorder="1" applyAlignment="1">
      <alignment wrapText="1"/>
    </xf>
    <xf numFmtId="0" fontId="8" fillId="0" borderId="12" xfId="0" applyFont="1" applyFill="1" applyBorder="1" applyAlignment="1">
      <alignment horizontal="left"/>
    </xf>
    <xf numFmtId="0" fontId="8" fillId="0" borderId="12" xfId="0" applyFont="1" applyFill="1" applyBorder="1"/>
    <xf numFmtId="0" fontId="8" fillId="0" borderId="15" xfId="0" applyFont="1" applyFill="1" applyBorder="1"/>
    <xf numFmtId="0" fontId="8" fillId="0" borderId="14" xfId="0" applyFont="1" applyFill="1" applyBorder="1"/>
    <xf numFmtId="0" fontId="8" fillId="0" borderId="12" xfId="0" quotePrefix="1" applyFont="1" applyFill="1" applyBorder="1" applyAlignment="1">
      <alignment wrapText="1"/>
    </xf>
    <xf numFmtId="0" fontId="8" fillId="0" borderId="12" xfId="0" quotePrefix="1" applyFont="1" applyFill="1" applyBorder="1" applyAlignment="1">
      <alignment horizontal="left"/>
    </xf>
    <xf numFmtId="0" fontId="8" fillId="0" borderId="13" xfId="0" quotePrefix="1" applyFont="1" applyFill="1" applyBorder="1"/>
    <xf numFmtId="0" fontId="8" fillId="0" borderId="11" xfId="0" applyFont="1" applyFill="1" applyBorder="1"/>
    <xf numFmtId="0" fontId="8" fillId="0" borderId="13" xfId="0" applyFont="1" applyFill="1" applyBorder="1"/>
    <xf numFmtId="0" fontId="8" fillId="0" borderId="35" xfId="0" applyFont="1" applyFill="1" applyBorder="1"/>
    <xf numFmtId="0" fontId="0" fillId="0" borderId="0" xfId="0" applyFill="1" applyAlignment="1">
      <alignment horizontal="center"/>
    </xf>
    <xf numFmtId="0" fontId="0" fillId="0" borderId="0" xfId="0" applyFill="1" applyAlignment="1">
      <alignment horizontal="right"/>
    </xf>
    <xf numFmtId="0" fontId="10" fillId="0" borderId="26" xfId="0" applyFont="1" applyFill="1" applyBorder="1" applyAlignment="1">
      <alignment horizontal="center" vertical="top" wrapText="1"/>
    </xf>
    <xf numFmtId="0" fontId="8" fillId="0" borderId="26" xfId="0" applyFont="1" applyFill="1" applyBorder="1" applyAlignment="1">
      <alignment vertical="top" wrapText="1"/>
    </xf>
    <xf numFmtId="0" fontId="8" fillId="0" borderId="26" xfId="0" applyFont="1" applyFill="1" applyBorder="1" applyAlignment="1">
      <alignment wrapText="1"/>
    </xf>
    <xf numFmtId="0" fontId="8" fillId="0" borderId="26" xfId="0" applyFont="1" applyFill="1" applyBorder="1" applyAlignment="1">
      <alignment horizontal="left"/>
    </xf>
    <xf numFmtId="0" fontId="8" fillId="0" borderId="26" xfId="0" applyFont="1" applyFill="1" applyBorder="1"/>
    <xf numFmtId="0" fontId="8" fillId="0" borderId="26" xfId="0" quotePrefix="1" applyFont="1" applyFill="1" applyBorder="1" applyAlignment="1">
      <alignment wrapText="1"/>
    </xf>
    <xf numFmtId="0" fontId="8" fillId="0" borderId="26" xfId="0" quotePrefix="1" applyFont="1" applyFill="1" applyBorder="1" applyAlignment="1">
      <alignment horizontal="left"/>
    </xf>
    <xf numFmtId="0" fontId="8" fillId="0" borderId="26" xfId="0" quotePrefix="1" applyFont="1" applyFill="1" applyBorder="1"/>
    <xf numFmtId="0" fontId="0" fillId="3" borderId="0" xfId="0" applyFill="1" applyAlignment="1">
      <alignment horizontal="left"/>
    </xf>
    <xf numFmtId="0" fontId="0" fillId="0" borderId="0" xfId="0" applyFill="1" applyAlignment="1">
      <alignment horizontal="left"/>
    </xf>
    <xf numFmtId="0" fontId="0" fillId="2" borderId="0" xfId="0" applyFill="1" applyAlignment="1">
      <alignment horizontal="center"/>
    </xf>
    <xf numFmtId="0" fontId="0" fillId="3" borderId="0" xfId="0" applyFill="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xf numFmtId="0" fontId="0" fillId="3" borderId="8" xfId="0" applyFill="1" applyBorder="1"/>
    <xf numFmtId="0" fontId="0" fillId="3" borderId="9" xfId="0" applyFill="1" applyBorder="1"/>
    <xf numFmtId="0" fontId="0" fillId="3" borderId="5" xfId="0" applyFill="1" applyBorder="1"/>
    <xf numFmtId="0" fontId="0" fillId="3" borderId="6" xfId="0" applyFill="1" applyBorder="1"/>
    <xf numFmtId="0" fontId="4" fillId="3" borderId="0" xfId="0" applyFont="1" applyFill="1" applyBorder="1" applyAlignment="1">
      <alignment horizontal="center"/>
    </xf>
    <xf numFmtId="0" fontId="0" fillId="3" borderId="10" xfId="0" applyFill="1" applyBorder="1" applyAlignment="1">
      <alignment horizontal="center"/>
    </xf>
    <xf numFmtId="0" fontId="0" fillId="3" borderId="4" xfId="0" applyFill="1" applyBorder="1" applyAlignment="1">
      <alignment horizontal="center"/>
    </xf>
    <xf numFmtId="0" fontId="0" fillId="3" borderId="0" xfId="0" applyFill="1" applyBorder="1" applyAlignment="1">
      <alignment horizontal="center"/>
    </xf>
    <xf numFmtId="0" fontId="0" fillId="3" borderId="32" xfId="0" applyFill="1" applyBorder="1" applyAlignment="1">
      <alignment horizontal="center"/>
    </xf>
    <xf numFmtId="0" fontId="0" fillId="3" borderId="44" xfId="0" applyFill="1" applyBorder="1" applyAlignment="1">
      <alignment horizontal="center"/>
    </xf>
    <xf numFmtId="0" fontId="0" fillId="3" borderId="36" xfId="0" applyFill="1" applyBorder="1"/>
    <xf numFmtId="0" fontId="0" fillId="3" borderId="25" xfId="0" applyFill="1" applyBorder="1"/>
    <xf numFmtId="0" fontId="0" fillId="3" borderId="33" xfId="0" applyFill="1" applyBorder="1" applyAlignment="1">
      <alignment horizontal="center"/>
    </xf>
    <xf numFmtId="0" fontId="0" fillId="3" borderId="37" xfId="0" applyFill="1" applyBorder="1"/>
    <xf numFmtId="0" fontId="0" fillId="3" borderId="0" xfId="0" applyFill="1" applyBorder="1" applyAlignment="1">
      <alignment vertical="center"/>
    </xf>
    <xf numFmtId="0" fontId="0" fillId="3" borderId="0" xfId="0" applyFill="1" applyBorder="1" applyAlignment="1">
      <alignment horizontal="center" wrapText="1"/>
    </xf>
    <xf numFmtId="0" fontId="0" fillId="3" borderId="0" xfId="0" applyFill="1" applyBorder="1" applyAlignment="1">
      <alignment horizontal="center" vertical="center"/>
    </xf>
    <xf numFmtId="0" fontId="0" fillId="3" borderId="11" xfId="0" applyFill="1" applyBorder="1"/>
    <xf numFmtId="0" fontId="0" fillId="3" borderId="13" xfId="0" applyFill="1" applyBorder="1" applyAlignment="1">
      <alignment horizontal="center"/>
    </xf>
    <xf numFmtId="0" fontId="0" fillId="3" borderId="3" xfId="0" applyFill="1" applyBorder="1" applyAlignment="1">
      <alignment horizontal="center" wrapText="1"/>
    </xf>
    <xf numFmtId="0" fontId="0" fillId="3" borderId="6" xfId="0" applyFill="1" applyBorder="1" applyAlignment="1">
      <alignment horizontal="center" wrapText="1"/>
    </xf>
    <xf numFmtId="0" fontId="0" fillId="3" borderId="14" xfId="0" applyFill="1" applyBorder="1"/>
    <xf numFmtId="0" fontId="0" fillId="3" borderId="12" xfId="0" applyFill="1" applyBorder="1"/>
    <xf numFmtId="0" fontId="0" fillId="3" borderId="2" xfId="0" applyFill="1" applyBorder="1"/>
    <xf numFmtId="0" fontId="0" fillId="3" borderId="13" xfId="0" applyFill="1" applyBorder="1"/>
    <xf numFmtId="0" fontId="4" fillId="3" borderId="4" xfId="0" applyFont="1" applyFill="1" applyBorder="1" applyAlignment="1">
      <alignment horizontal="center"/>
    </xf>
    <xf numFmtId="3" fontId="0" fillId="3" borderId="9" xfId="0" applyNumberFormat="1" applyFill="1" applyBorder="1"/>
    <xf numFmtId="0" fontId="0" fillId="2" borderId="0" xfId="0" applyFill="1" applyAlignment="1"/>
    <xf numFmtId="0" fontId="6" fillId="0" borderId="0" xfId="0" applyFont="1" applyFill="1" applyAlignment="1">
      <alignment horizontal="center"/>
    </xf>
    <xf numFmtId="0" fontId="0" fillId="0" borderId="0" xfId="0" applyFill="1" applyAlignment="1">
      <alignment horizontal="center"/>
    </xf>
    <xf numFmtId="0" fontId="2" fillId="0" borderId="0" xfId="4"/>
    <xf numFmtId="3" fontId="2" fillId="0" borderId="0" xfId="4" applyNumberFormat="1"/>
    <xf numFmtId="0" fontId="0" fillId="0" borderId="2" xfId="0" applyFill="1" applyBorder="1"/>
    <xf numFmtId="0" fontId="0" fillId="0" borderId="6" xfId="0" applyFill="1" applyBorder="1"/>
    <xf numFmtId="0" fontId="8" fillId="0" borderId="27" xfId="0" applyNumberFormat="1" applyFont="1" applyFill="1" applyBorder="1" applyAlignment="1">
      <alignment horizontal="right" vertical="top" wrapText="1"/>
    </xf>
    <xf numFmtId="166" fontId="0" fillId="0" borderId="0" xfId="0" applyNumberFormat="1" applyFill="1"/>
    <xf numFmtId="3" fontId="8" fillId="0" borderId="26" xfId="0" applyNumberFormat="1" applyFont="1" applyFill="1" applyBorder="1" applyAlignment="1">
      <alignment horizontal="left"/>
    </xf>
    <xf numFmtId="0" fontId="9"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wrapText="1"/>
    </xf>
    <xf numFmtId="0" fontId="17" fillId="0" borderId="0" xfId="0" applyFont="1" applyAlignment="1">
      <alignment horizontal="center" vertical="center" wrapText="1"/>
    </xf>
    <xf numFmtId="0" fontId="18" fillId="0" borderId="0" xfId="0" applyFont="1" applyAlignment="1">
      <alignment horizontal="right" vertical="center" wrapText="1"/>
    </xf>
    <xf numFmtId="17" fontId="2" fillId="0" borderId="0" xfId="4" applyNumberFormat="1"/>
    <xf numFmtId="3" fontId="0" fillId="0" borderId="24" xfId="0" applyNumberFormat="1" applyFill="1" applyBorder="1" applyAlignment="1">
      <alignment horizontal="right"/>
    </xf>
    <xf numFmtId="3" fontId="0" fillId="0" borderId="17" xfId="0" applyNumberFormat="1" applyFill="1" applyBorder="1" applyAlignment="1">
      <alignment horizontal="right"/>
    </xf>
    <xf numFmtId="3" fontId="0" fillId="0" borderId="20" xfId="0" applyNumberFormat="1" applyFill="1" applyBorder="1" applyAlignment="1">
      <alignment horizontal="right"/>
    </xf>
    <xf numFmtId="3" fontId="0" fillId="0" borderId="22" xfId="0" applyNumberFormat="1" applyFill="1" applyBorder="1" applyAlignment="1">
      <alignment horizontal="right"/>
    </xf>
    <xf numFmtId="3" fontId="0" fillId="0" borderId="0" xfId="0" applyNumberFormat="1" applyFill="1" applyBorder="1" applyAlignment="1">
      <alignment horizontal="right"/>
    </xf>
    <xf numFmtId="3" fontId="0" fillId="0" borderId="19" xfId="0" applyNumberFormat="1" applyFill="1" applyBorder="1" applyAlignment="1">
      <alignment horizontal="right"/>
    </xf>
    <xf numFmtId="3" fontId="8" fillId="0" borderId="17" xfId="0" applyNumberFormat="1" applyFont="1" applyFill="1" applyBorder="1" applyAlignment="1">
      <alignment horizontal="right"/>
    </xf>
    <xf numFmtId="3" fontId="8" fillId="0" borderId="14" xfId="0" applyNumberFormat="1" applyFont="1" applyFill="1" applyBorder="1" applyAlignment="1">
      <alignment horizontal="right"/>
    </xf>
    <xf numFmtId="3" fontId="8" fillId="0" borderId="36" xfId="0" applyNumberFormat="1" applyFont="1" applyFill="1" applyBorder="1" applyAlignment="1" applyProtection="1">
      <alignment horizontal="right"/>
    </xf>
    <xf numFmtId="3" fontId="8" fillId="0" borderId="37" xfId="0" applyNumberFormat="1" applyFont="1" applyFill="1" applyBorder="1" applyAlignment="1" applyProtection="1">
      <alignment horizontal="right"/>
    </xf>
    <xf numFmtId="3" fontId="8" fillId="0" borderId="41" xfId="0" applyNumberFormat="1" applyFont="1" applyFill="1" applyBorder="1" applyAlignment="1">
      <alignment horizontal="right"/>
    </xf>
    <xf numFmtId="3" fontId="8" fillId="0" borderId="24" xfId="0" applyNumberFormat="1" applyFont="1" applyFill="1" applyBorder="1" applyAlignment="1">
      <alignment horizontal="right"/>
    </xf>
    <xf numFmtId="3" fontId="8" fillId="0" borderId="42" xfId="0" applyNumberFormat="1" applyFont="1" applyFill="1" applyBorder="1" applyAlignment="1">
      <alignment horizontal="right"/>
    </xf>
    <xf numFmtId="3" fontId="8" fillId="0" borderId="35" xfId="0" applyNumberFormat="1" applyFont="1" applyFill="1" applyBorder="1" applyAlignment="1">
      <alignment horizontal="right"/>
    </xf>
    <xf numFmtId="3" fontId="8" fillId="0" borderId="11" xfId="0" applyNumberFormat="1" applyFont="1" applyFill="1" applyBorder="1" applyAlignment="1">
      <alignment horizontal="right"/>
    </xf>
    <xf numFmtId="0" fontId="8" fillId="0" borderId="35" xfId="0" applyFont="1" applyFill="1" applyBorder="1" applyAlignment="1">
      <alignment horizontal="left"/>
    </xf>
    <xf numFmtId="3" fontId="0" fillId="0" borderId="0" xfId="0" applyNumberFormat="1" applyAlignment="1">
      <alignment horizontal="right" vertical="center" wrapText="1"/>
    </xf>
    <xf numFmtId="3" fontId="9" fillId="0" borderId="0" xfId="0" applyNumberFormat="1" applyFont="1" applyAlignment="1">
      <alignment horizontal="center" vertical="center" wrapText="1"/>
    </xf>
    <xf numFmtId="3" fontId="11" fillId="3" borderId="17" xfId="0" applyNumberFormat="1" applyFont="1" applyFill="1" applyBorder="1" applyAlignment="1">
      <alignment horizontal="right"/>
    </xf>
    <xf numFmtId="3" fontId="0" fillId="3" borderId="20" xfId="0" applyNumberFormat="1" applyFill="1" applyBorder="1" applyAlignment="1">
      <alignment horizontal="right"/>
    </xf>
    <xf numFmtId="3" fontId="0" fillId="3" borderId="22" xfId="0" applyNumberFormat="1" applyFill="1" applyBorder="1" applyAlignment="1">
      <alignment horizontal="right"/>
    </xf>
    <xf numFmtId="3" fontId="11" fillId="3" borderId="20" xfId="0" applyNumberFormat="1" applyFont="1" applyFill="1" applyBorder="1" applyAlignment="1">
      <alignment horizontal="right"/>
    </xf>
    <xf numFmtId="3" fontId="0" fillId="3" borderId="0" xfId="0" applyNumberFormat="1" applyFill="1" applyBorder="1" applyAlignment="1">
      <alignment horizontal="right"/>
    </xf>
    <xf numFmtId="3" fontId="0" fillId="3" borderId="19" xfId="0" applyNumberFormat="1" applyFill="1" applyBorder="1" applyAlignment="1">
      <alignment horizontal="right"/>
    </xf>
    <xf numFmtId="3" fontId="8" fillId="3" borderId="17" xfId="0" applyNumberFormat="1" applyFont="1" applyFill="1" applyBorder="1" applyAlignment="1">
      <alignment horizontal="right"/>
    </xf>
    <xf numFmtId="0" fontId="0" fillId="3" borderId="17" xfId="0" applyFill="1" applyBorder="1" applyAlignment="1">
      <alignment horizontal="right"/>
    </xf>
    <xf numFmtId="0" fontId="0" fillId="0" borderId="0" xfId="0" applyFont="1" applyAlignment="1">
      <alignment horizontal="center" vertical="center" wrapText="1"/>
    </xf>
    <xf numFmtId="0" fontId="0" fillId="3" borderId="0" xfId="0" quotePrefix="1" applyFill="1" applyAlignment="1">
      <alignment horizontal="right"/>
    </xf>
    <xf numFmtId="0" fontId="0" fillId="0" borderId="0" xfId="0" applyFill="1" applyAlignment="1">
      <alignment horizontal="center"/>
    </xf>
    <xf numFmtId="0" fontId="0" fillId="3" borderId="3" xfId="0" applyFill="1" applyBorder="1"/>
    <xf numFmtId="0" fontId="11" fillId="0" borderId="0" xfId="0" applyFont="1"/>
    <xf numFmtId="0" fontId="0" fillId="0" borderId="16" xfId="0" applyFill="1" applyBorder="1" applyAlignment="1"/>
    <xf numFmtId="3" fontId="0" fillId="0" borderId="0" xfId="0" applyNumberFormat="1" applyFill="1" applyAlignment="1">
      <alignment horizontal="center"/>
    </xf>
    <xf numFmtId="3" fontId="0" fillId="0" borderId="0" xfId="0" applyNumberFormat="1" applyFill="1" applyAlignment="1">
      <alignment horizontal="right"/>
    </xf>
    <xf numFmtId="0" fontId="1" fillId="0" borderId="0" xfId="4" applyFont="1"/>
    <xf numFmtId="16" fontId="2" fillId="0" borderId="0" xfId="4" applyNumberFormat="1"/>
    <xf numFmtId="0" fontId="0" fillId="4" borderId="0" xfId="0" applyFill="1" applyAlignment="1">
      <alignment horizontal="center" vertical="center"/>
    </xf>
    <xf numFmtId="0" fontId="6" fillId="0" borderId="21" xfId="0" applyFont="1" applyFill="1" applyBorder="1" applyAlignment="1">
      <alignment horizontal="center"/>
    </xf>
    <xf numFmtId="0" fontId="6" fillId="0" borderId="48" xfId="0" applyFont="1" applyFill="1" applyBorder="1" applyAlignment="1">
      <alignment horizontal="center"/>
    </xf>
    <xf numFmtId="0" fontId="6" fillId="0" borderId="22" xfId="0" applyFont="1" applyFill="1" applyBorder="1" applyAlignment="1">
      <alignment horizontal="center"/>
    </xf>
    <xf numFmtId="0" fontId="6" fillId="0" borderId="0" xfId="0" applyFont="1" applyFill="1" applyAlignment="1">
      <alignment horizontal="center"/>
    </xf>
    <xf numFmtId="0" fontId="6" fillId="0" borderId="49" xfId="0" applyFont="1" applyFill="1" applyBorder="1" applyAlignment="1">
      <alignment horizontal="center"/>
    </xf>
    <xf numFmtId="0" fontId="6" fillId="0" borderId="50" xfId="0" applyFont="1" applyFill="1" applyBorder="1" applyAlignment="1">
      <alignment horizontal="center"/>
    </xf>
    <xf numFmtId="0" fontId="6" fillId="0" borderId="31" xfId="0" applyFont="1" applyFill="1" applyBorder="1" applyAlignment="1">
      <alignment horizontal="center"/>
    </xf>
    <xf numFmtId="0" fontId="6" fillId="0" borderId="47" xfId="0" applyFont="1" applyFill="1" applyBorder="1" applyAlignment="1">
      <alignment horizontal="center"/>
    </xf>
    <xf numFmtId="0" fontId="6" fillId="0" borderId="41" xfId="0" applyFont="1" applyFill="1" applyBorder="1" applyAlignment="1">
      <alignment horizontal="center"/>
    </xf>
    <xf numFmtId="0" fontId="6" fillId="0" borderId="26" xfId="0" applyFont="1" applyFill="1" applyBorder="1" applyAlignment="1">
      <alignment horizontal="center"/>
    </xf>
    <xf numFmtId="0" fontId="0" fillId="0" borderId="16" xfId="0" applyFill="1" applyBorder="1" applyAlignment="1">
      <alignment horizontal="center"/>
    </xf>
    <xf numFmtId="0" fontId="0" fillId="0" borderId="0" xfId="0" applyFill="1" applyAlignment="1">
      <alignment horizontal="center"/>
    </xf>
    <xf numFmtId="0" fontId="6" fillId="0" borderId="0" xfId="0" applyFont="1" applyAlignment="1">
      <alignment horizontal="center"/>
    </xf>
    <xf numFmtId="0" fontId="6" fillId="0" borderId="31" xfId="0" applyFont="1" applyBorder="1" applyAlignment="1">
      <alignment horizontal="center"/>
    </xf>
    <xf numFmtId="0" fontId="6" fillId="0" borderId="47" xfId="0" applyFont="1" applyBorder="1" applyAlignment="1">
      <alignment horizontal="center"/>
    </xf>
    <xf numFmtId="0" fontId="6" fillId="0" borderId="41" xfId="0" applyFont="1" applyBorder="1" applyAlignment="1">
      <alignment horizontal="center"/>
    </xf>
    <xf numFmtId="0" fontId="0" fillId="2" borderId="0" xfId="0" applyFill="1" applyAlignment="1">
      <alignment horizontal="center"/>
    </xf>
    <xf numFmtId="0" fontId="15" fillId="0" borderId="0" xfId="0" applyFont="1" applyAlignment="1">
      <alignment horizontal="left" vertical="center" wrapText="1" readingOrder="1"/>
    </xf>
    <xf numFmtId="0" fontId="6" fillId="3" borderId="0" xfId="0" applyFont="1" applyFill="1" applyAlignment="1">
      <alignment horizontal="center"/>
    </xf>
    <xf numFmtId="0" fontId="6" fillId="3" borderId="21" xfId="0" applyFont="1" applyFill="1" applyBorder="1" applyAlignment="1">
      <alignment horizontal="center"/>
    </xf>
    <xf numFmtId="0" fontId="6" fillId="3" borderId="48" xfId="0" applyFont="1" applyFill="1" applyBorder="1" applyAlignment="1">
      <alignment horizontal="center"/>
    </xf>
    <xf numFmtId="0" fontId="6" fillId="3" borderId="22" xfId="0" applyFont="1" applyFill="1" applyBorder="1" applyAlignment="1">
      <alignment horizontal="center"/>
    </xf>
    <xf numFmtId="0" fontId="6" fillId="3" borderId="49" xfId="0" applyFont="1" applyFill="1" applyBorder="1" applyAlignment="1">
      <alignment horizontal="center"/>
    </xf>
    <xf numFmtId="0" fontId="6" fillId="3" borderId="50" xfId="0" applyFont="1" applyFill="1" applyBorder="1" applyAlignment="1">
      <alignment horizontal="center"/>
    </xf>
    <xf numFmtId="0" fontId="6" fillId="3" borderId="36" xfId="0" applyFont="1" applyFill="1" applyBorder="1" applyAlignment="1">
      <alignment horizontal="center"/>
    </xf>
    <xf numFmtId="0" fontId="6" fillId="3" borderId="37" xfId="0" applyFont="1" applyFill="1" applyBorder="1" applyAlignment="1">
      <alignment horizontal="center"/>
    </xf>
    <xf numFmtId="0" fontId="6" fillId="3" borderId="25" xfId="0" applyFont="1" applyFill="1" applyBorder="1" applyAlignment="1">
      <alignment horizontal="center"/>
    </xf>
    <xf numFmtId="0" fontId="0" fillId="3" borderId="16" xfId="0" applyFill="1" applyBorder="1" applyAlignment="1">
      <alignment horizontal="center"/>
    </xf>
    <xf numFmtId="0" fontId="0" fillId="3" borderId="0" xfId="0" applyFill="1" applyAlignment="1">
      <alignment horizontal="center"/>
    </xf>
    <xf numFmtId="0" fontId="11" fillId="3" borderId="16" xfId="0" applyFont="1" applyFill="1" applyBorder="1" applyAlignment="1">
      <alignment horizontal="center"/>
    </xf>
    <xf numFmtId="0" fontId="11" fillId="3" borderId="0" xfId="0" applyFont="1" applyFill="1" applyAlignment="1">
      <alignment horizontal="center"/>
    </xf>
    <xf numFmtId="0" fontId="4" fillId="3" borderId="31" xfId="0" applyFont="1" applyFill="1" applyBorder="1" applyAlignment="1">
      <alignment horizontal="center"/>
    </xf>
    <xf numFmtId="0" fontId="4" fillId="3" borderId="47"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37" xfId="0" applyFont="1" applyFill="1" applyBorder="1" applyAlignment="1">
      <alignment horizontal="center"/>
    </xf>
    <xf numFmtId="0" fontId="4" fillId="3" borderId="25" xfId="0" applyFont="1" applyFill="1" applyBorder="1" applyAlignment="1">
      <alignment horizontal="center"/>
    </xf>
    <xf numFmtId="0" fontId="4" fillId="3" borderId="10" xfId="0" applyFont="1" applyFill="1" applyBorder="1" applyAlignment="1">
      <alignment horizontal="center"/>
    </xf>
    <xf numFmtId="0" fontId="4" fillId="3" borderId="46" xfId="0" applyFont="1" applyFill="1" applyBorder="1" applyAlignment="1">
      <alignment horizontal="center"/>
    </xf>
    <xf numFmtId="0" fontId="4" fillId="3" borderId="4" xfId="0" applyFont="1" applyFill="1" applyBorder="1" applyAlignment="1">
      <alignment horizontal="center"/>
    </xf>
    <xf numFmtId="0" fontId="0" fillId="3" borderId="36" xfId="0" applyFill="1" applyBorder="1" applyAlignment="1">
      <alignment horizontal="center"/>
    </xf>
    <xf numFmtId="0" fontId="0" fillId="3" borderId="25" xfId="0" applyFill="1" applyBorder="1" applyAlignment="1">
      <alignment horizontal="center"/>
    </xf>
    <xf numFmtId="0" fontId="0" fillId="3" borderId="8" xfId="0" applyFill="1" applyBorder="1" applyAlignment="1">
      <alignment horizontal="center" wrapText="1"/>
    </xf>
    <xf numFmtId="0" fontId="0" fillId="3" borderId="5" xfId="0" applyFill="1" applyBorder="1" applyAlignment="1">
      <alignment horizont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4" fillId="3" borderId="49" xfId="0" applyFont="1" applyFill="1" applyBorder="1" applyAlignment="1">
      <alignment horizontal="center"/>
    </xf>
    <xf numFmtId="0" fontId="4" fillId="3" borderId="50" xfId="0" applyFont="1" applyFill="1" applyBorder="1" applyAlignment="1">
      <alignment horizontal="center"/>
    </xf>
    <xf numFmtId="0" fontId="0" fillId="3" borderId="7" xfId="0" applyFill="1" applyBorder="1" applyAlignment="1">
      <alignment vertical="center"/>
    </xf>
    <xf numFmtId="0" fontId="0" fillId="3" borderId="3" xfId="0" applyFill="1" applyBorder="1" applyAlignment="1">
      <alignment vertical="center"/>
    </xf>
    <xf numFmtId="0" fontId="4" fillId="3" borderId="51" xfId="0" applyFont="1" applyFill="1" applyBorder="1" applyAlignment="1">
      <alignment horizontal="center"/>
    </xf>
    <xf numFmtId="0" fontId="4" fillId="3" borderId="29" xfId="0" applyFont="1" applyFill="1" applyBorder="1" applyAlignment="1">
      <alignment horizontal="center"/>
    </xf>
    <xf numFmtId="0" fontId="4" fillId="3" borderId="30" xfId="0" applyFont="1" applyFill="1" applyBorder="1" applyAlignment="1">
      <alignment horizontal="center"/>
    </xf>
    <xf numFmtId="0" fontId="0" fillId="3" borderId="3" xfId="0" applyFill="1" applyBorder="1"/>
    <xf numFmtId="0" fontId="0" fillId="3" borderId="5" xfId="0" applyFill="1" applyBorder="1"/>
    <xf numFmtId="0" fontId="0" fillId="3" borderId="1" xfId="0" applyFill="1" applyBorder="1"/>
    <xf numFmtId="0" fontId="0" fillId="3" borderId="26" xfId="0" applyFill="1" applyBorder="1"/>
    <xf numFmtId="0" fontId="0" fillId="3" borderId="7" xfId="0" applyFill="1" applyBorder="1"/>
    <xf numFmtId="0" fontId="0" fillId="3" borderId="8" xfId="0" applyFill="1" applyBorder="1"/>
    <xf numFmtId="3" fontId="11" fillId="0" borderId="26" xfId="0" applyNumberFormat="1" applyFont="1" applyFill="1" applyBorder="1"/>
    <xf numFmtId="3" fontId="11" fillId="0" borderId="2" xfId="0" applyNumberFormat="1" applyFont="1" applyFill="1" applyBorder="1"/>
    <xf numFmtId="0" fontId="11" fillId="6" borderId="0" xfId="0" applyFont="1" applyFill="1"/>
  </cellXfs>
  <cellStyles count="5">
    <cellStyle name="Čárka" xfId="1" builtinId="3"/>
    <cellStyle name="čárky 2" xfId="2" xr:uid="{00000000-0005-0000-0000-000001000000}"/>
    <cellStyle name="Normální" xfId="0" builtinId="0"/>
    <cellStyle name="Normální 2" xfId="4" xr:uid="{7F85417C-95AE-4923-976A-645B846F1A55}"/>
    <cellStyle name="Procenta" xfId="3" builtinI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8"/>
  <sheetViews>
    <sheetView tabSelected="1" workbookViewId="0">
      <selection activeCell="B5" sqref="B5"/>
    </sheetView>
  </sheetViews>
  <sheetFormatPr defaultColWidth="9" defaultRowHeight="15.75" x14ac:dyDescent="0.25"/>
  <cols>
    <col min="1" max="1" width="23" style="15" bestFit="1" customWidth="1"/>
    <col min="2" max="16384" width="9" style="15"/>
  </cols>
  <sheetData>
    <row r="1" spans="1:2" x14ac:dyDescent="0.25">
      <c r="A1" s="65" t="s">
        <v>18</v>
      </c>
      <c r="B1" s="366" t="s">
        <v>20</v>
      </c>
    </row>
    <row r="2" spans="1:2" x14ac:dyDescent="0.25">
      <c r="A2" s="14" t="s">
        <v>17</v>
      </c>
      <c r="B2" s="366"/>
    </row>
    <row r="5" spans="1:2" x14ac:dyDescent="0.25">
      <c r="A5" s="16" t="str">
        <f>IF(B1="CZ","Vložte název vaší firmy:","Enter your company name:")</f>
        <v>Enter your company name:</v>
      </c>
      <c r="B5" s="428" t="s">
        <v>25</v>
      </c>
    </row>
    <row r="7" spans="1:2" x14ac:dyDescent="0.25">
      <c r="A7" s="14" t="str">
        <f>IF(B1="CZ","Stručný návod k použití","Brief instructions")</f>
        <v>Brief instructions</v>
      </c>
      <c r="B7" s="73" t="str">
        <f>IF(B1="CZ","POZOR, BEZ ZÁRUKY SPRÁVNOSTI! V souboru se mohou vyskytovat chyby, takže budeme rádi, pokud nás na ně případně upozorníte.","NOTE, NO GURANTEE OF CORRECTNESS! There might be mistakes in the file, so in case you find any, please, let us know.")</f>
        <v>NOTE, NO GURANTEE OF CORRECTNESS! There might be mistakes in the file, so in case you find any, please, let us know.</v>
      </c>
    </row>
    <row r="8" spans="1:2" x14ac:dyDescent="0.25">
      <c r="A8" s="17" t="s">
        <v>9</v>
      </c>
      <c r="B8" s="18" t="str">
        <f>IF($B$1="CZ","Webový portál v české verzi používá jako oddělovače tisíců mezery a jako oddělovače desetinných míst čárky - zkontrolujte nastavení Vašeno software v nabídce Soubor-Možnosti-Upřesnit-Používat oddělovače ze systému.","The web portal in the English version uses commas as the thousands separator and dots as decimal separators - check the setting of your software going to File-Options-Advanced-Use system separators.")</f>
        <v>The web portal in the English version uses commas as the thousands separator and dots as decimal separators - check the setting of your software going to File-Options-Advanced-Use system separators.</v>
      </c>
    </row>
    <row r="9" spans="1:2" x14ac:dyDescent="0.25">
      <c r="A9" s="17" t="s">
        <v>10</v>
      </c>
      <c r="B9" s="18" t="str">
        <f>IF($B$1="CZ","Soubor můžete používat dvojím způsobem - jen pro aktuální rozhodnutí nebo též jako 'archiv vývoje' hry.","You can use the file in two ways - just for the recent decision or also as an 'archive' of the game development.")</f>
        <v>You can use the file in two ways - just for the recent decision or also as an 'archive' of the game development.</v>
      </c>
    </row>
    <row r="10" spans="1:2" x14ac:dyDescent="0.25">
      <c r="A10" s="17" t="s">
        <v>13</v>
      </c>
      <c r="B10" s="18" t="str">
        <f>IF($B$1="CZ","Zkopírujte výsledky posledního proběhlého čtvrtletí do listu [RawData], sloupec D (kopírování začněte v poli 'Marketing a prodej' a kliknutím na totéž pole ve sloupci D vložte Vaše hodnoty).","Copy the results of the last finished quarter into the sheet [RawData], column D (start copying from the title 'Marketing and sales', and clicking at the same cell in the D column, paste-special the recent values as Unicode).")</f>
        <v>Copy the results of the last finished quarter into the sheet [RawData], column D (start copying from the title 'Marketing and sales', and clicking at the same cell in the D column, paste-special the recent values as Unicode).</v>
      </c>
    </row>
    <row r="11" spans="1:2" x14ac:dyDescent="0.25">
      <c r="A11" s="17" t="s">
        <v>14</v>
      </c>
      <c r="B11" s="18" t="str">
        <f>IF($B$1="CZ","Zkopírujte poslední 'výroční' výsledky do listu [RawData], sloupec N (kopírování začněte v poli 'čtvrtletí' a kliknutím na totéž pole ve sloupci N vložte Vaše hodnoty).","Copy the annual results into the sheet [RawData], column N (start copying from the title 'quarter', and clicking at the same cell in the N column, paste the recent values).")</f>
        <v>Copy the annual results into the sheet [RawData], column N (start copying from the title 'quarter', and clicking at the same cell in the N column, paste the recent values).</v>
      </c>
    </row>
    <row r="12" spans="1:2" x14ac:dyDescent="0.25">
      <c r="A12" s="17" t="s">
        <v>21</v>
      </c>
      <c r="B12" s="249" t="str">
        <f>IF($B$1="CZ","(Chcete-li tento soubor používat jako 'archiv', zkopírujte si vývoj kol 1-3 do příslušných sloupců listu [RawData] stejně jak je popsáno v bodě 3.)","(If you want to use this file as an 'archive', copy the development in quarters 1-3 to the relevant columns in the [RawData] sheet the same way as described in the third point here.)")</f>
        <v>(If you want to use this file as an 'archive', copy the development in quarters 1-3 to the relevant columns in the [RawData] sheet the same way as described in the third point here.)</v>
      </c>
    </row>
    <row r="13" spans="1:2" x14ac:dyDescent="0.25">
      <c r="A13" s="17" t="s">
        <v>22</v>
      </c>
      <c r="B13" s="18" t="str">
        <f>IF(B1="CZ","Pokud máte informace, aktualizujte v listu [Decision] ceny surovin (vpravo nahoře), doplňte zjištěné potenciály apod.","If you have the information, update the materials prices in the [Decision] sheet (top right of the page), add information on potentials etc.")</f>
        <v>If you have the information, update the materials prices in the [Decision] sheet (top right of the page), add information on potentials etc.</v>
      </c>
    </row>
    <row r="14" spans="1:2" x14ac:dyDescent="0.25">
      <c r="A14" s="17" t="s">
        <v>23</v>
      </c>
      <c r="B14" s="18" t="str">
        <f>IF(B1="CZ","Zadejte své rozhodnutí do listu [Decision] - již je nastaven tak, aby ukazoval pouze aktuální počet strojů, který lze využít k výrobě apod. Nezasahujte do šedých buněk.","Enter your decision into the sheet [Decision] - it is set to show just updated number of available machines to be used for production etc. Do not change the grey cells.")</f>
        <v>Enter your decision into the sheet [Decision] - it is set to show just updated number of available machines to be used for production etc. Do not change the grey cells.</v>
      </c>
    </row>
    <row r="15" spans="1:2" x14ac:dyDescent="0.25">
      <c r="A15" s="17" t="s">
        <v>24</v>
      </c>
      <c r="B15" s="18" t="str">
        <f>IF(B1="CZ","V listu [ExpectedResults] můžete pracovat s odhady aktuálích potenciálů, a přes úpravu rozhodnutí zkoušet dopady různých variant rozhodnutí.","In the [ExpectedResults] sheet you can try different potentials for the particular run, and test the impact of different scenarios of your decisions.")</f>
        <v>In the [ExpectedResults] sheet you can try different potentials for the particular run, and test the impact of different scenarios of your decisions.</v>
      </c>
    </row>
    <row r="16" spans="1:2" x14ac:dyDescent="0.25">
      <c r="A16" s="357" t="s">
        <v>34</v>
      </c>
      <c r="B16" s="249" t="str">
        <f>IF($B$1="CZ","(V dalším čtvrtletí můžete (ale nemusíte) zkopírovat list [ActualResults] a KOPII přejmenovat např. na 'Q4' (a v dalších čtvrtletích Q5 apod.).)","(In the next quarter, you can (but do not have to)  COPY the sheet [ActualResults] and rename the COPY e.g. to 'Q4' (and in the next quarter Q5 etc.).)")</f>
        <v>(In the next quarter, you can (but do not have to)  COPY the sheet [ActualResults] and rename the COPY e.g. to 'Q4' (and in the next quarter Q5 etc.).)</v>
      </c>
    </row>
    <row r="17" spans="1:2" x14ac:dyDescent="0.25">
      <c r="A17" s="357" t="s">
        <v>35</v>
      </c>
      <c r="B17" s="74" t="str">
        <f>IF($B$1="CZ","V dalším čtvrtletí vložte aktuální data do dalších sloupců listu [RawData] a nahraďte odkazy z listu [ActualResults] na 'RawData!D' odkazy na 'RawData!E', a odkazy na 'RawData!G' odkazy na 'RawData!H' apod.","In the next quarter, enter the recent data to subsequent columns of the [RawData] sheet and replace the references from the [ActualResults] sheet to 'RawData!D' with 'RawData!E' etc., and references to 'RawData!G' with 'RawData!H' etc.")</f>
        <v>In the next quarter, enter the recent data to subsequent columns of the [RawData] sheet and replace the references from the [ActualResults] sheet to 'RawData!D' with 'RawData!E' etc., and references to 'RawData!G' with 'RawData!H' etc.</v>
      </c>
    </row>
    <row r="18" spans="1:2" x14ac:dyDescent="0.25">
      <c r="A18" s="357" t="s">
        <v>36</v>
      </c>
      <c r="B18" s="18" t="str">
        <f>IF($B$1="CZ","K provedení výše uvedeného nahrazení můžete využít možnost 'Nahradit' v nabídce 'Najít a vybrat' vpravo nahoře.","For the replacement of the references you can use the option 'Replace' in the upper right menu link 'Find and select'.")</f>
        <v>For the replacement of the references you can use the option 'Replace' in the upper right menu link 'Find and select'.</v>
      </c>
    </row>
    <row r="19" spans="1:2" x14ac:dyDescent="0.25">
      <c r="A19" s="357" t="s">
        <v>37</v>
      </c>
      <c r="B19" s="18" t="str">
        <f>IF($B$1="CZ","Veškeré úpravy souboru provádějte obezřetně, abyste si 'nepokazili' nastavené vzorce a odkazy.","Consider any changes in the file carefully not to 'spoil'  the pre-set formulas and references.")</f>
        <v>Consider any changes in the file carefully not to 'spoil'  the pre-set formulas and references.</v>
      </c>
    </row>
    <row r="20" spans="1:2" x14ac:dyDescent="0.25">
      <c r="B20" s="18" t="str">
        <f>IF($B$1="CZ","Jakékoliv náměty na vylepšení tohoto souboru uvítáme!","Any proposals for improvements of this file are welcome!")</f>
        <v>Any proposals for improvements of this file are welcome!</v>
      </c>
    </row>
    <row r="47" spans="2:2" x14ac:dyDescent="0.25">
      <c r="B47" s="15" t="s">
        <v>19</v>
      </c>
    </row>
    <row r="48" spans="2:2" x14ac:dyDescent="0.25">
      <c r="B48" s="15" t="s">
        <v>20</v>
      </c>
    </row>
  </sheetData>
  <mergeCells count="1">
    <mergeCell ref="B1:B2"/>
  </mergeCells>
  <dataValidations count="1">
    <dataValidation type="list" allowBlank="1" showInputMessage="1" showErrorMessage="1" sqref="B1:B2" xr:uid="{00000000-0002-0000-0000-000000000000}">
      <formula1>Jazyk</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6"/>
  <sheetViews>
    <sheetView workbookViewId="0">
      <selection activeCell="E3" sqref="E3"/>
    </sheetView>
  </sheetViews>
  <sheetFormatPr defaultColWidth="8.875" defaultRowHeight="15.75" x14ac:dyDescent="0.25"/>
  <cols>
    <col min="1" max="1" width="37.125" bestFit="1" customWidth="1"/>
    <col min="2" max="2" width="10.125" customWidth="1"/>
    <col min="3" max="3" width="12.625" bestFit="1" customWidth="1"/>
    <col min="4" max="4" width="25" bestFit="1" customWidth="1"/>
    <col min="5" max="5" width="10.125" customWidth="1"/>
    <col min="7" max="7" width="38.125" bestFit="1" customWidth="1"/>
    <col min="8" max="8" width="10.625" customWidth="1"/>
    <col min="9" max="9" width="13.375" bestFit="1" customWidth="1"/>
    <col min="10" max="12" width="10.625" customWidth="1"/>
  </cols>
  <sheetData>
    <row r="1" spans="1:13" ht="18.75" x14ac:dyDescent="0.3">
      <c r="A1" s="379" t="str">
        <f>IF(Instructions!$B$1="CZ",CONCATENATE("FINANČNÍ VÝSLEDKY FIRMY ",Instructions!$B$5),CONCATENATE("FINANCIAL RESULTS FOR COMPANY ",Instructions!$B$5))</f>
        <v>FINANCIAL RESULTS FOR COMPANY Firm</v>
      </c>
      <c r="B1" s="379"/>
      <c r="C1" s="379"/>
      <c r="D1" s="379"/>
      <c r="E1" s="379"/>
      <c r="G1" s="370" t="str">
        <f>IF(Instructions!$B$1="CZ",CONCATENATE("ROČNÍ SOUHRN FIRMY ",Instructions!$B$5),CONCATENATE("FOUR-QUARTER SURVEY FOR COMPANY ",Instructions!$B$5))</f>
        <v>FOUR-QUARTER SURVEY FOR COMPANY Firm</v>
      </c>
      <c r="H1" s="370"/>
      <c r="I1" s="370"/>
      <c r="J1" s="370"/>
      <c r="K1" s="370"/>
      <c r="L1" s="370"/>
    </row>
    <row r="2" spans="1:13" ht="16.5" thickBot="1" x14ac:dyDescent="0.3">
      <c r="E2" s="360" t="str">
        <f>IF(Instructions!$B$1="CZ","AKTUALIZOVAT podle pořadí simulačního kola!","UPDATE according to the # of the run in simulation!")</f>
        <v>UPDATE according to the # of the run in simulation!</v>
      </c>
      <c r="G2" s="11"/>
      <c r="H2" s="11"/>
      <c r="I2" s="11"/>
      <c r="J2" s="11"/>
      <c r="K2" s="11"/>
      <c r="L2" s="11"/>
    </row>
    <row r="3" spans="1:13" ht="20.25" x14ac:dyDescent="0.3">
      <c r="A3" s="380" t="str">
        <f>IF(Instructions!$B$1="CZ","MARKETING A PRODEJ","MARKETING AND SALES")</f>
        <v>MARKETING AND SALES</v>
      </c>
      <c r="B3" s="381"/>
      <c r="C3" s="382"/>
      <c r="D3" s="113" t="str">
        <f>IF(Instructions!$B$1="CZ","Čtvrtletí","Quarter")</f>
        <v>Quarter</v>
      </c>
      <c r="E3" s="112">
        <v>4</v>
      </c>
      <c r="G3" s="271" t="str">
        <f>IF(Instructions!$B$1="CZ","ČTVRTLETÍ","QUARTER")</f>
        <v>QUARTER</v>
      </c>
      <c r="H3" s="244">
        <f>INT((E3-1)/4)*4+1</f>
        <v>1</v>
      </c>
      <c r="I3" s="244">
        <f>H3+1</f>
        <v>2</v>
      </c>
      <c r="J3" s="244">
        <f>I3+1</f>
        <v>3</v>
      </c>
      <c r="K3" s="244">
        <f>J3+1</f>
        <v>4</v>
      </c>
      <c r="L3" s="243" t="str">
        <f>IF(Instructions!$B$1="CZ","CELKEM","TOTAL")</f>
        <v>TOTAL</v>
      </c>
    </row>
    <row r="4" spans="1:13" x14ac:dyDescent="0.25">
      <c r="A4" s="6" t="str">
        <f>IF(Instructions!$B$1="CZ","PRODUKT","PRODUCT")</f>
        <v>PRODUCT</v>
      </c>
      <c r="B4" s="7" t="str">
        <f>IF(Instructions!$B$1="CZ","STOLY","DESKS")</f>
        <v>DESKS</v>
      </c>
      <c r="C4" s="5" t="str">
        <f>IF(Instructions!$B$1="CZ","SKŘÍŇKY","CABINETS")</f>
        <v>CABINETS</v>
      </c>
      <c r="G4" s="272" t="str">
        <f>IF(Instructions!$B$1="CZ","Tržby","Sales")</f>
        <v>Sales</v>
      </c>
      <c r="H4" s="165">
        <f>RawData!N44</f>
        <v>0</v>
      </c>
      <c r="I4" s="165">
        <f>RawData!N81</f>
        <v>0</v>
      </c>
      <c r="J4" s="165">
        <f>RawData!N118</f>
        <v>0</v>
      </c>
      <c r="K4" s="165">
        <f>RawData!N155</f>
        <v>0</v>
      </c>
      <c r="L4" s="138">
        <f>SUM(H4:K4)</f>
        <v>0</v>
      </c>
    </row>
    <row r="5" spans="1:13" x14ac:dyDescent="0.25">
      <c r="A5" s="3" t="str">
        <f>IF(Instructions!$B$1="CZ","Cena [Kč za ks]","Price [CZK per piece]")</f>
        <v>Price [CZK per piece]</v>
      </c>
      <c r="B5" s="138">
        <f>RawData!D10</f>
        <v>0</v>
      </c>
      <c r="C5" s="139">
        <f>RawData!D16</f>
        <v>0</v>
      </c>
      <c r="G5" s="272" t="str">
        <f>IF(Instructions!$B$1="CZ","Náklady prodaných výrobků","Costs of goods sold")</f>
        <v>Costs of goods sold</v>
      </c>
      <c r="H5" s="165">
        <f>RawData!N45</f>
        <v>0</v>
      </c>
      <c r="I5" s="165">
        <f>RawData!N82</f>
        <v>0</v>
      </c>
      <c r="J5" s="165">
        <f>RawData!N119</f>
        <v>0</v>
      </c>
      <c r="K5" s="165">
        <f>RawData!N156</f>
        <v>0</v>
      </c>
      <c r="L5" s="138">
        <f t="shared" ref="L5:L13" si="0">SUM(H5:K5)</f>
        <v>0</v>
      </c>
    </row>
    <row r="6" spans="1:13" x14ac:dyDescent="0.25">
      <c r="A6" s="3" t="str">
        <f>IF(Instructions!$B$1="CZ","Nabídka [ks]","Offer [pcs]")</f>
        <v>Offer [pcs]</v>
      </c>
      <c r="B6" s="138">
        <f>RawData!D11</f>
        <v>0</v>
      </c>
      <c r="C6" s="139">
        <f>RawData!D17</f>
        <v>0</v>
      </c>
      <c r="D6" s="377"/>
      <c r="E6" s="378"/>
      <c r="G6" s="272" t="str">
        <f>IF(Instructions!$B$1="CZ","Nepřímé náklady","Indirect costs")</f>
        <v>Indirect costs</v>
      </c>
      <c r="H6" s="165">
        <f>RawData!N46</f>
        <v>0</v>
      </c>
      <c r="I6" s="165">
        <f>RawData!N83</f>
        <v>0</v>
      </c>
      <c r="J6" s="165">
        <f>RawData!N120</f>
        <v>0</v>
      </c>
      <c r="K6" s="165">
        <f>RawData!N157</f>
        <v>0</v>
      </c>
      <c r="L6" s="138">
        <f t="shared" si="0"/>
        <v>0</v>
      </c>
    </row>
    <row r="7" spans="1:13" x14ac:dyDescent="0.25">
      <c r="A7" s="3" t="str">
        <f>IF(Instructions!$B$1="CZ","Potenciální prodej [ks]","Potential sales [pcs]")</f>
        <v>Potential sales [pcs]</v>
      </c>
      <c r="B7" s="138">
        <f>RawData!D12</f>
        <v>0</v>
      </c>
      <c r="C7" s="139">
        <f>RawData!D18</f>
        <v>0</v>
      </c>
      <c r="D7" s="269"/>
      <c r="E7" s="269"/>
      <c r="G7" s="272" t="str">
        <f>IF(Instructions!$B$1="CZ","Provozní zisk","Operating result")</f>
        <v>Operating result</v>
      </c>
      <c r="H7" s="165">
        <f>RawData!N47</f>
        <v>0</v>
      </c>
      <c r="I7" s="165">
        <f>RawData!N84</f>
        <v>0</v>
      </c>
      <c r="J7" s="165">
        <f>RawData!N121</f>
        <v>0</v>
      </c>
      <c r="K7" s="165">
        <f>RawData!N158</f>
        <v>0</v>
      </c>
      <c r="L7" s="138">
        <f t="shared" si="0"/>
        <v>0</v>
      </c>
    </row>
    <row r="8" spans="1:13" x14ac:dyDescent="0.25">
      <c r="A8" s="3" t="str">
        <f>IF(Instructions!$B$1="CZ","Skutečný prodej [ks]","Actual sales [pcs]")</f>
        <v>Actual sales [pcs]</v>
      </c>
      <c r="B8" s="138">
        <f>RawData!D13</f>
        <v>0</v>
      </c>
      <c r="C8" s="139">
        <f>RawData!D19</f>
        <v>0</v>
      </c>
      <c r="D8" s="136"/>
      <c r="E8" s="136"/>
      <c r="G8" s="272" t="str">
        <f>IF(Instructions!$B$1="CZ","Úroky","Capital costs")</f>
        <v>Capital costs</v>
      </c>
      <c r="H8" s="165">
        <f>RawData!N48</f>
        <v>0</v>
      </c>
      <c r="I8" s="165">
        <f>RawData!N85</f>
        <v>0</v>
      </c>
      <c r="J8" s="165">
        <f>RawData!N122</f>
        <v>0</v>
      </c>
      <c r="K8" s="165">
        <f>RawData!N159</f>
        <v>0</v>
      </c>
      <c r="L8" s="138">
        <f t="shared" si="0"/>
        <v>0</v>
      </c>
    </row>
    <row r="9" spans="1:13" ht="16.5" thickBot="1" x14ac:dyDescent="0.3">
      <c r="A9" s="4" t="str">
        <f>IF(Instructions!$B$1="CZ","Tržby [Kč]","Sales [CZK]")</f>
        <v>Sales [CZK]</v>
      </c>
      <c r="B9" s="12">
        <f>B8*B5</f>
        <v>0</v>
      </c>
      <c r="C9" s="13">
        <f>C8*C5</f>
        <v>0</v>
      </c>
      <c r="D9" s="11"/>
      <c r="E9" s="11"/>
      <c r="G9" s="272" t="str">
        <f>IF(Instructions!$B$1="CZ","Mimořádné výdaje","Extraordinary expenses")</f>
        <v>Extraordinary expenses</v>
      </c>
      <c r="H9" s="165">
        <f>RawData!N49</f>
        <v>0</v>
      </c>
      <c r="I9" s="165">
        <f>RawData!N86</f>
        <v>0</v>
      </c>
      <c r="J9" s="165">
        <f>RawData!N123</f>
        <v>0</v>
      </c>
      <c r="K9" s="165">
        <f>RawData!N160</f>
        <v>0</v>
      </c>
      <c r="L9" s="138"/>
    </row>
    <row r="10" spans="1:13" ht="16.5" thickBot="1" x14ac:dyDescent="0.3">
      <c r="D10" s="11"/>
      <c r="E10" s="234"/>
      <c r="G10" s="272" t="str">
        <f>IF(Instructions!$B$1="CZ","Daně","Taxes")</f>
        <v>Taxes</v>
      </c>
      <c r="H10" s="165">
        <f>RawData!N50</f>
        <v>0</v>
      </c>
      <c r="I10" s="165">
        <f>RawData!N87</f>
        <v>0</v>
      </c>
      <c r="J10" s="165">
        <f>RawData!N124</f>
        <v>0</v>
      </c>
      <c r="K10" s="165">
        <f>RawData!N161</f>
        <v>0</v>
      </c>
      <c r="L10" s="138">
        <f t="shared" si="0"/>
        <v>0</v>
      </c>
    </row>
    <row r="11" spans="1:13" ht="18.75" x14ac:dyDescent="0.3">
      <c r="A11" s="373" t="str">
        <f>IF(Instructions!$B$1="CZ","VÝROBA","PRODUCTION")</f>
        <v>PRODUCTION</v>
      </c>
      <c r="B11" s="374"/>
      <c r="C11" s="375"/>
      <c r="D11" s="377"/>
      <c r="E11" s="378"/>
      <c r="F11" s="234"/>
      <c r="G11" s="272" t="str">
        <f>IF(Instructions!$B$1="CZ","Mimořádné příjmy","Extraordinary revenues")</f>
        <v>Extraordinary revenues</v>
      </c>
      <c r="H11" s="165">
        <f>RawData!N51</f>
        <v>0</v>
      </c>
      <c r="I11" s="165">
        <f>RawData!N88</f>
        <v>0</v>
      </c>
      <c r="J11" s="165">
        <f>RawData!N125</f>
        <v>0</v>
      </c>
      <c r="K11" s="165">
        <f>RawData!N162</f>
        <v>0</v>
      </c>
      <c r="L11" s="138">
        <f t="shared" si="0"/>
        <v>0</v>
      </c>
      <c r="M11" s="11"/>
    </row>
    <row r="12" spans="1:13" x14ac:dyDescent="0.25">
      <c r="A12" s="133" t="str">
        <f>IF(Instructions!$B$1="CZ","VÝROBEK","PRODUCT")</f>
        <v>PRODUCT</v>
      </c>
      <c r="B12" s="134" t="str">
        <f>IF(Instructions!$B$1="CZ","STOLY","DESKS")</f>
        <v>DESKS</v>
      </c>
      <c r="C12" s="135" t="str">
        <f>IF(Instructions!$B$1="CZ","SKŘÍŇKY","CABINETS")</f>
        <v>CABINETS</v>
      </c>
      <c r="D12" s="269"/>
      <c r="E12" s="269"/>
      <c r="F12" s="144"/>
      <c r="G12" s="272" t="str">
        <f>IF(Instructions!$B$1="CZ","Čistý zisk","Net results")</f>
        <v>Net results</v>
      </c>
      <c r="H12" s="165">
        <f>RawData!N52</f>
        <v>0</v>
      </c>
      <c r="I12" s="165">
        <f>RawData!N89</f>
        <v>0</v>
      </c>
      <c r="J12" s="165">
        <f>RawData!N126</f>
        <v>0</v>
      </c>
      <c r="K12" s="165">
        <f>RawData!N163</f>
        <v>0</v>
      </c>
      <c r="L12" s="138">
        <f t="shared" si="0"/>
        <v>0</v>
      </c>
      <c r="M12" s="11"/>
    </row>
    <row r="13" spans="1:13" x14ac:dyDescent="0.25">
      <c r="A13" s="137" t="str">
        <f>IF(Instructions!$B$1="CZ","Počáteční zásoba [ks]","Opening stock [pcs]")</f>
        <v>Opening stock [pcs]</v>
      </c>
      <c r="B13" s="138">
        <f>RawData!D28</f>
        <v>0</v>
      </c>
      <c r="C13" s="139">
        <f>RawData!D33</f>
        <v>0</v>
      </c>
      <c r="D13" s="130"/>
      <c r="E13" s="130"/>
      <c r="F13" s="136"/>
      <c r="G13" s="272" t="str">
        <f>IF(Instructions!$B$1="CZ","Průzkum trhu","Market survey")</f>
        <v>Market survey</v>
      </c>
      <c r="H13" s="165">
        <f>RawData!N53</f>
        <v>0</v>
      </c>
      <c r="I13" s="165">
        <f>RawData!N90</f>
        <v>0</v>
      </c>
      <c r="J13" s="165">
        <f>RawData!N127</f>
        <v>0</v>
      </c>
      <c r="K13" s="165">
        <f>RawData!N164</f>
        <v>0</v>
      </c>
      <c r="L13" s="138">
        <f t="shared" si="0"/>
        <v>0</v>
      </c>
      <c r="M13" s="11"/>
    </row>
    <row r="14" spans="1:13" x14ac:dyDescent="0.25">
      <c r="A14" s="137" t="str">
        <f>IF(Instructions!$B$1="CZ","Plánovaná výroba [ks]","Planned production [pcs]")</f>
        <v>Planned production [pcs]</v>
      </c>
      <c r="B14" s="138">
        <f>RawData!D29</f>
        <v>0</v>
      </c>
      <c r="C14" s="139">
        <f>RawData!D34</f>
        <v>0</v>
      </c>
      <c r="D14" s="131"/>
      <c r="E14" s="131"/>
      <c r="F14" s="136"/>
      <c r="G14" s="272" t="str">
        <f>IF(Instructions!$B$1="CZ","Cena stolu","Price of Desks")</f>
        <v>Price of Desks</v>
      </c>
      <c r="H14" s="165">
        <f>RawData!N54</f>
        <v>0</v>
      </c>
      <c r="I14" s="165">
        <f>RawData!N91</f>
        <v>0</v>
      </c>
      <c r="J14" s="165">
        <f>RawData!N128</f>
        <v>0</v>
      </c>
      <c r="K14" s="165">
        <f>RawData!N165</f>
        <v>0</v>
      </c>
      <c r="L14" s="245"/>
      <c r="M14" s="11"/>
    </row>
    <row r="15" spans="1:13" x14ac:dyDescent="0.25">
      <c r="A15" s="137" t="str">
        <f>IF(Instructions!$B$1="CZ","Skutečná výroba [ks]","Actual production [pcs]")</f>
        <v>Actual production [pcs]</v>
      </c>
      <c r="B15" s="138">
        <f>RawData!D30</f>
        <v>0</v>
      </c>
      <c r="C15" s="139">
        <f>RawData!D35</f>
        <v>0</v>
      </c>
      <c r="D15" s="130"/>
      <c r="E15" s="130"/>
      <c r="F15" s="136"/>
      <c r="G15" s="272" t="str">
        <f>IF(Instructions!$B$1="CZ","Cena skříňky","Price of Cabinets")</f>
        <v>Price of Cabinets</v>
      </c>
      <c r="H15" s="165">
        <f>RawData!N55</f>
        <v>0</v>
      </c>
      <c r="I15" s="165">
        <f>RawData!N92</f>
        <v>0</v>
      </c>
      <c r="J15" s="165">
        <f>RawData!N129</f>
        <v>0</v>
      </c>
      <c r="K15" s="165">
        <f>RawData!N166</f>
        <v>0</v>
      </c>
      <c r="L15" s="197"/>
      <c r="M15" s="11"/>
    </row>
    <row r="16" spans="1:13" ht="16.5" thickBot="1" x14ac:dyDescent="0.3">
      <c r="A16" s="141" t="str">
        <f>IF(Instructions!$B$1="CZ","Konečná zásoba [ks]","Inventory [pcs]")</f>
        <v>Inventory [pcs]</v>
      </c>
      <c r="B16" s="138">
        <f>B13+B15-B8</f>
        <v>0</v>
      </c>
      <c r="C16" s="139">
        <f>C13+C15-C8</f>
        <v>0</v>
      </c>
      <c r="D16" s="130"/>
      <c r="E16" s="130"/>
      <c r="F16" s="136"/>
      <c r="G16" s="272" t="str">
        <f>IF(Instructions!$B$1="CZ","Náklady neuspokojené poptávky","Out-of-stock costs")</f>
        <v>Out-of-stock costs</v>
      </c>
      <c r="H16" s="165">
        <f>RawData!N56</f>
        <v>0</v>
      </c>
      <c r="I16" s="165">
        <f>RawData!N93</f>
        <v>0</v>
      </c>
      <c r="J16" s="165">
        <f>RawData!N130</f>
        <v>0</v>
      </c>
      <c r="K16" s="165">
        <f>RawData!N167</f>
        <v>0</v>
      </c>
      <c r="L16" s="138">
        <f>SUM(H16:K16)</f>
        <v>0</v>
      </c>
      <c r="M16" s="11"/>
    </row>
    <row r="17" spans="1:13" ht="16.5" thickBot="1" x14ac:dyDescent="0.3">
      <c r="A17" s="11"/>
      <c r="B17" s="11"/>
      <c r="C17" s="11"/>
      <c r="D17" s="11"/>
      <c r="E17" s="11"/>
      <c r="F17" s="11"/>
      <c r="G17" s="273" t="str">
        <f>IF(Instructions!$B$1="CZ","Počet strojů","Capacity")</f>
        <v>Capacity</v>
      </c>
      <c r="H17" s="165">
        <f>RawData!N57</f>
        <v>0</v>
      </c>
      <c r="I17" s="165">
        <f>RawData!N94</f>
        <v>0</v>
      </c>
      <c r="J17" s="165">
        <f>RawData!N131</f>
        <v>0</v>
      </c>
      <c r="K17" s="165">
        <f>RawData!N168</f>
        <v>0</v>
      </c>
      <c r="L17" s="197"/>
      <c r="M17" s="11"/>
    </row>
    <row r="18" spans="1:13" ht="18.75" x14ac:dyDescent="0.3">
      <c r="A18" s="373" t="str">
        <f>IF(Instructions!$B$1="CZ","ZÁSOBOVÁNÍ","PROCUREMENT")</f>
        <v>PROCUREMENT</v>
      </c>
      <c r="B18" s="374"/>
      <c r="C18" s="375"/>
      <c r="D18" s="11"/>
      <c r="E18" s="11"/>
      <c r="F18" s="11"/>
      <c r="G18" s="274" t="str">
        <f>IF(Instructions!$B$1="CZ","Výroba - plán [%]","Production - plan [%]")</f>
        <v>Production - plan [%]</v>
      </c>
      <c r="H18" s="165">
        <f>RawData!N58</f>
        <v>0</v>
      </c>
      <c r="I18" s="165">
        <f>RawData!N95</f>
        <v>0</v>
      </c>
      <c r="J18" s="165">
        <f>RawData!N132</f>
        <v>0</v>
      </c>
      <c r="K18" s="165">
        <f>RawData!N169</f>
        <v>0</v>
      </c>
      <c r="L18" s="197"/>
      <c r="M18" s="11"/>
    </row>
    <row r="19" spans="1:13" x14ac:dyDescent="0.25">
      <c r="A19" s="133" t="str">
        <f>IF(Instructions!$B$1="CZ","SUROVINA","RAW MATERIAL")</f>
        <v>RAW MATERIAL</v>
      </c>
      <c r="B19" s="134" t="str">
        <f>IF(Instructions!$B$1="CZ","DŘEVO","WOOD")</f>
        <v>WOOD</v>
      </c>
      <c r="C19" s="135" t="str">
        <f>IF(Instructions!$B$1="CZ","KOV","METAL")</f>
        <v>METAL</v>
      </c>
      <c r="E19" s="11"/>
      <c r="F19" s="11"/>
      <c r="G19" s="274" t="str">
        <f>IF(Instructions!$B$1="CZ","Výroba - stutečnost [%]","Production - reality [%]")</f>
        <v>Production - reality [%]</v>
      </c>
      <c r="H19" s="165">
        <f>RawData!N59</f>
        <v>0</v>
      </c>
      <c r="I19" s="165">
        <f>RawData!N96</f>
        <v>0</v>
      </c>
      <c r="J19" s="165">
        <f>RawData!N133</f>
        <v>0</v>
      </c>
      <c r="K19" s="165">
        <f>RawData!N170</f>
        <v>0</v>
      </c>
      <c r="L19" s="197"/>
      <c r="M19" s="11"/>
    </row>
    <row r="20" spans="1:13" x14ac:dyDescent="0.25">
      <c r="A20" s="137" t="str">
        <f>IF(Instructions!$B$1="CZ","Počáteční zásoba [kg]","Opening stock [kg]")</f>
        <v>Opening stock [kg]</v>
      </c>
      <c r="B20" s="138">
        <f>RawData!D45</f>
        <v>0</v>
      </c>
      <c r="C20" s="139">
        <f>RawData!D51</f>
        <v>0</v>
      </c>
      <c r="E20" s="11"/>
      <c r="F20" s="11"/>
      <c r="G20" s="275" t="str">
        <f>IF(Instructions!$B$1="CZ","Zaměstnanci - celkem","Employees - total")</f>
        <v>Employees - total</v>
      </c>
      <c r="H20" s="165">
        <f>RawData!N60</f>
        <v>0</v>
      </c>
      <c r="I20" s="165">
        <f>RawData!N97</f>
        <v>0</v>
      </c>
      <c r="J20" s="165">
        <f>RawData!N134</f>
        <v>0</v>
      </c>
      <c r="K20" s="165">
        <f>RawData!N171</f>
        <v>0</v>
      </c>
      <c r="L20" s="197"/>
      <c r="M20" s="11"/>
    </row>
    <row r="21" spans="1:13" x14ac:dyDescent="0.25">
      <c r="A21" s="137" t="str">
        <f>IF(Instructions!$B$1="CZ","Nákup [kg]","Purchase [kg]")</f>
        <v>Purchase [kg]</v>
      </c>
      <c r="B21" s="138">
        <f>RawData!D46</f>
        <v>0</v>
      </c>
      <c r="C21" s="139">
        <f>RawData!D52</f>
        <v>0</v>
      </c>
      <c r="E21" s="11"/>
      <c r="F21" s="11"/>
      <c r="G21" s="275" t="str">
        <f>IF(Instructions!$B$1="CZ","Zaměstnanci - aktivní","Employees - active")</f>
        <v>Employees - active</v>
      </c>
      <c r="H21" s="165">
        <f>RawData!N61</f>
        <v>0</v>
      </c>
      <c r="I21" s="165">
        <f>RawData!N98</f>
        <v>0</v>
      </c>
      <c r="J21" s="165">
        <f>RawData!N135</f>
        <v>0</v>
      </c>
      <c r="K21" s="165">
        <f>RawData!N172</f>
        <v>0</v>
      </c>
      <c r="L21" s="197"/>
      <c r="M21" s="11"/>
    </row>
    <row r="22" spans="1:13" x14ac:dyDescent="0.25">
      <c r="A22" s="137" t="str">
        <f>IF(Instructions!$B$1="CZ","Cena [Kč za kg]","Price [CZK per kg]")</f>
        <v>Price [CZK per kg]</v>
      </c>
      <c r="B22" s="240">
        <f>RawData!D47</f>
        <v>0</v>
      </c>
      <c r="C22" s="239">
        <f>RawData!D53</f>
        <v>0</v>
      </c>
      <c r="E22" s="11"/>
      <c r="F22" s="11"/>
      <c r="G22" s="275" t="str">
        <f>IF(Instructions!$B$1="CZ","Zaměstnanci - změna","Employees - change")</f>
        <v>Employees - change</v>
      </c>
      <c r="H22" s="165">
        <f>RawData!N62</f>
        <v>0</v>
      </c>
      <c r="I22" s="165">
        <f>RawData!N99</f>
        <v>0</v>
      </c>
      <c r="J22" s="165">
        <f>RawData!N136</f>
        <v>0</v>
      </c>
      <c r="K22" s="165">
        <f>RawData!N173</f>
        <v>0</v>
      </c>
      <c r="L22" s="197"/>
      <c r="M22" s="11"/>
    </row>
    <row r="23" spans="1:13" x14ac:dyDescent="0.25">
      <c r="A23" s="137" t="str">
        <f>IF(Instructions!$B$1="CZ","Spotřeba [kg]","Consumption [kg]")</f>
        <v>Consumption [kg]</v>
      </c>
      <c r="B23" s="138">
        <f>RawData!D48</f>
        <v>0</v>
      </c>
      <c r="C23" s="139">
        <f>RawData!D54</f>
        <v>0</v>
      </c>
      <c r="E23" s="11"/>
      <c r="F23" s="11"/>
      <c r="G23" s="275" t="str">
        <f>IF(Instructions!$B$1="CZ","Zaměstnanci - přům. náklady na pracovníka","Employees - average per employee")</f>
        <v>Employees - average per employee</v>
      </c>
      <c r="H23" s="165">
        <f>RawData!N63</f>
        <v>0</v>
      </c>
      <c r="I23" s="165">
        <f>RawData!N100</f>
        <v>0</v>
      </c>
      <c r="J23" s="165">
        <f>RawData!N137</f>
        <v>0</v>
      </c>
      <c r="K23" s="165">
        <f>RawData!N174</f>
        <v>0</v>
      </c>
      <c r="L23" s="197"/>
      <c r="M23" s="11"/>
    </row>
    <row r="24" spans="1:13" ht="16.5" thickBot="1" x14ac:dyDescent="0.3">
      <c r="A24" s="141" t="str">
        <f>IF(Instructions!$B$1="CZ","Konečná zásoba [kg]","Inventory [kg]")</f>
        <v>Inventory [kg]</v>
      </c>
      <c r="B24" s="138">
        <f>RawData!D49</f>
        <v>0</v>
      </c>
      <c r="C24" s="139">
        <f>RawData!D55</f>
        <v>0</v>
      </c>
      <c r="E24" s="11"/>
      <c r="F24" s="11"/>
      <c r="G24" s="275" t="str">
        <f>IF(Instructions!$B$1="CZ","Nedodržení plánované výroby","Production cut-backs")</f>
        <v>Production cut-backs</v>
      </c>
      <c r="H24" s="165">
        <f>RawData!N64</f>
        <v>0</v>
      </c>
      <c r="I24" s="165">
        <f>RawData!N101</f>
        <v>0</v>
      </c>
      <c r="J24" s="165">
        <f>RawData!N138</f>
        <v>0</v>
      </c>
      <c r="K24" s="165">
        <f>RawData!N175</f>
        <v>0</v>
      </c>
      <c r="L24" s="138"/>
      <c r="M24" s="11"/>
    </row>
    <row r="25" spans="1:13" ht="16.5" thickBot="1" x14ac:dyDescent="0.3">
      <c r="A25" s="11"/>
      <c r="B25" s="11"/>
      <c r="C25" s="11"/>
      <c r="D25" s="11"/>
      <c r="E25" s="11"/>
      <c r="F25" s="11"/>
      <c r="G25" s="275" t="str">
        <f>IF(Instructions!$B$1="CZ","Suroviny - nákup","Raw materials - purchase")</f>
        <v>Raw materials - purchase</v>
      </c>
      <c r="H25" s="165">
        <f>RawData!N65</f>
        <v>0</v>
      </c>
      <c r="I25" s="165">
        <f>RawData!N102</f>
        <v>0</v>
      </c>
      <c r="J25" s="165">
        <f>RawData!N139</f>
        <v>0</v>
      </c>
      <c r="K25" s="165">
        <f>RawData!N176</f>
        <v>0</v>
      </c>
      <c r="L25" s="197"/>
      <c r="M25" s="11"/>
    </row>
    <row r="26" spans="1:13" ht="18.75" x14ac:dyDescent="0.3">
      <c r="A26" s="367" t="str">
        <f>IF(Instructions!$B$1="CZ","LIDSKÉ ZDROJE","HUMAN RESOURCES")</f>
        <v>HUMAN RESOURCES</v>
      </c>
      <c r="B26" s="368"/>
      <c r="C26" s="368"/>
      <c r="D26" s="368"/>
      <c r="E26" s="369"/>
      <c r="F26" s="11"/>
      <c r="G26" s="276" t="str">
        <f>IF(Instructions!$B$1="CZ","Suroviny - sleva","Raw materials - discount")</f>
        <v>Raw materials - discount</v>
      </c>
      <c r="H26" s="165">
        <f>RawData!N66</f>
        <v>0</v>
      </c>
      <c r="I26" s="165">
        <f>RawData!N103</f>
        <v>0</v>
      </c>
      <c r="J26" s="165">
        <f>RawData!N140</f>
        <v>0</v>
      </c>
      <c r="K26" s="165">
        <f>RawData!N177</f>
        <v>0</v>
      </c>
      <c r="L26" s="197"/>
      <c r="M26" s="11"/>
    </row>
    <row r="27" spans="1:13" x14ac:dyDescent="0.25">
      <c r="A27" s="148" t="str">
        <f>IF(Instructions!$B$1="CZ","Základní index","Base index")</f>
        <v>Base index</v>
      </c>
      <c r="B27" s="136">
        <f>RawData!D65</f>
        <v>0</v>
      </c>
      <c r="C27" s="132"/>
      <c r="D27" s="132" t="str">
        <f>IF(Instructions!$B$1="CZ","Pracovní náklady","Labour costs")</f>
        <v>Labour costs</v>
      </c>
      <c r="E27" s="331">
        <f>RawData!D71</f>
        <v>0</v>
      </c>
      <c r="F27" s="130"/>
      <c r="G27" s="277" t="str">
        <f>IF(Instructions!$B$1="CZ","Suroviny - zásoba","Raw materials - stock")</f>
        <v>Raw materials - stock</v>
      </c>
      <c r="H27" s="165">
        <f>RawData!N67</f>
        <v>0</v>
      </c>
      <c r="I27" s="165">
        <f>RawData!N104</f>
        <v>0</v>
      </c>
      <c r="J27" s="165">
        <f>RawData!N141</f>
        <v>0</v>
      </c>
      <c r="K27" s="165">
        <f>RawData!N178</f>
        <v>0</v>
      </c>
      <c r="L27" s="197"/>
      <c r="M27" s="11"/>
    </row>
    <row r="28" spans="1:13" x14ac:dyDescent="0.25">
      <c r="A28" s="148" t="str">
        <f>IF(Instructions!$B$1="CZ","Mzdový index","Wage index")</f>
        <v>Wage index</v>
      </c>
      <c r="B28" s="136">
        <f>RawData!D66</f>
        <v>0</v>
      </c>
      <c r="C28" s="132"/>
      <c r="D28" s="132" t="str">
        <f>IF(Instructions!$B$1="CZ","Prům. náklady na pracovníka","Average per employee")</f>
        <v>Average per employee</v>
      </c>
      <c r="E28" s="331">
        <f>RawData!D72</f>
        <v>0</v>
      </c>
      <c r="F28" s="11"/>
      <c r="G28" s="278" t="str">
        <f>IF(Instructions!$B$1="CZ","Suroviny - skladovací náklady","Raw materials - storage costs")</f>
        <v>Raw materials - storage costs</v>
      </c>
      <c r="H28" s="165">
        <f>RawData!N68</f>
        <v>0</v>
      </c>
      <c r="I28" s="165">
        <f>RawData!N105</f>
        <v>0</v>
      </c>
      <c r="J28" s="165">
        <f>RawData!N142</f>
        <v>0</v>
      </c>
      <c r="K28" s="165">
        <f>RawData!N179</f>
        <v>0</v>
      </c>
      <c r="L28" s="138">
        <f>SUM(H28:K28)</f>
        <v>0</v>
      </c>
      <c r="M28" s="11"/>
    </row>
    <row r="29" spans="1:13" x14ac:dyDescent="0.25">
      <c r="A29" s="148" t="str">
        <f>IF(Instructions!$B$1="CZ","Změna mzdového indexu","Change in wage level")</f>
        <v>Change in wage level</v>
      </c>
      <c r="B29" s="136">
        <f>RawData!D67</f>
        <v>0</v>
      </c>
      <c r="C29" s="132"/>
      <c r="D29" s="132"/>
      <c r="E29" s="149"/>
      <c r="F29" s="11"/>
      <c r="G29" s="275" t="str">
        <f>IF(Instructions!$B$1="CZ","Výrobky - zásoba","Products - stock")</f>
        <v>Products - stock</v>
      </c>
      <c r="H29" s="165">
        <f>RawData!N69</f>
        <v>0</v>
      </c>
      <c r="I29" s="165">
        <f>RawData!N106</f>
        <v>0</v>
      </c>
      <c r="J29" s="165">
        <f>RawData!N143</f>
        <v>0</v>
      </c>
      <c r="K29" s="165">
        <f>RawData!N180</f>
        <v>0</v>
      </c>
      <c r="L29" s="138"/>
      <c r="M29" s="11"/>
    </row>
    <row r="30" spans="1:13" x14ac:dyDescent="0.25">
      <c r="A30" s="148" t="str">
        <f>IF(Instructions!$B$1="CZ","Vzdělávání","Training")</f>
        <v>Training</v>
      </c>
      <c r="B30" s="136">
        <f>B32-B28-B29-B31</f>
        <v>0</v>
      </c>
      <c r="C30" s="132"/>
      <c r="D30" s="132"/>
      <c r="E30" s="149"/>
      <c r="F30" s="11"/>
      <c r="G30" s="278" t="str">
        <f>IF(Instructions!$B$1="CZ","Výrobky - skladovací náklady","Products - storage costs")</f>
        <v>Products - storage costs</v>
      </c>
      <c r="H30" s="165">
        <f>RawData!N70</f>
        <v>0</v>
      </c>
      <c r="I30" s="165">
        <f>RawData!N107</f>
        <v>0</v>
      </c>
      <c r="J30" s="165">
        <f>RawData!N144</f>
        <v>0</v>
      </c>
      <c r="K30" s="165">
        <f>RawData!N181</f>
        <v>0</v>
      </c>
      <c r="L30" s="138">
        <f>SUM(H30:K30)</f>
        <v>0</v>
      </c>
      <c r="M30" s="11"/>
    </row>
    <row r="31" spans="1:13" x14ac:dyDescent="0.25">
      <c r="A31" s="148" t="str">
        <f>IF(Instructions!$B$1="CZ","Vliv kokurence","Influence of competition")</f>
        <v>Influence of competition</v>
      </c>
      <c r="B31" s="136">
        <f>RawData!D69</f>
        <v>0</v>
      </c>
      <c r="C31" s="132"/>
      <c r="D31" s="132"/>
      <c r="E31" s="149"/>
      <c r="F31" s="11"/>
      <c r="G31" s="275" t="s">
        <v>4</v>
      </c>
      <c r="H31" s="165">
        <f>RawData!N71</f>
        <v>0</v>
      </c>
      <c r="I31" s="165">
        <f>RawData!N108</f>
        <v>0</v>
      </c>
      <c r="J31" s="165">
        <f>RawData!N145</f>
        <v>0</v>
      </c>
      <c r="K31" s="165">
        <f>RawData!N182</f>
        <v>0</v>
      </c>
      <c r="L31" s="138"/>
      <c r="M31" s="11"/>
    </row>
    <row r="32" spans="1:13" ht="16.5" thickBot="1" x14ac:dyDescent="0.3">
      <c r="A32" s="150" t="str">
        <f>IF(Instructions!$B$1="CZ","Nový index","New index")</f>
        <v>New index</v>
      </c>
      <c r="B32" s="151">
        <f>RawData!D70</f>
        <v>0</v>
      </c>
      <c r="C32" s="152"/>
      <c r="D32" s="152"/>
      <c r="E32" s="153"/>
      <c r="F32" s="11"/>
      <c r="G32" s="274" t="str">
        <f>IF(Instructions!$B$1="CZ","Průměrný PI na trhu","PI - market average")</f>
        <v>PI - market average</v>
      </c>
      <c r="H32" s="165">
        <f>RawData!N72</f>
        <v>0</v>
      </c>
      <c r="I32" s="165">
        <f>RawData!N109</f>
        <v>0</v>
      </c>
      <c r="J32" s="165">
        <f>RawData!N146</f>
        <v>0</v>
      </c>
      <c r="K32" s="165">
        <f>RawData!N183</f>
        <v>0</v>
      </c>
      <c r="L32" s="165"/>
      <c r="M32" s="11"/>
    </row>
    <row r="33" spans="1:13" x14ac:dyDescent="0.25">
      <c r="A33" s="11"/>
      <c r="B33" s="11"/>
      <c r="C33" s="11"/>
      <c r="D33" s="11"/>
      <c r="E33" s="11"/>
      <c r="F33" s="11"/>
      <c r="G33" s="323" t="str">
        <f>IF(Instructions!$B$1="CZ","Mzdový index","Wage index")</f>
        <v>Wage index</v>
      </c>
      <c r="H33" s="165">
        <f>RawData!N73</f>
        <v>0</v>
      </c>
      <c r="I33" s="165">
        <f>RawData!N110</f>
        <v>0</v>
      </c>
      <c r="J33" s="165">
        <f>RawData!N147</f>
        <v>0</v>
      </c>
      <c r="K33" s="165">
        <f>RawData!N184</f>
        <v>0</v>
      </c>
      <c r="L33" s="165"/>
      <c r="M33" s="11"/>
    </row>
    <row r="34" spans="1:13" ht="18.75" x14ac:dyDescent="0.3">
      <c r="A34" s="376" t="s">
        <v>7</v>
      </c>
      <c r="B34" s="376"/>
      <c r="C34" s="154"/>
      <c r="D34" s="154"/>
      <c r="E34" s="154"/>
      <c r="F34" s="11"/>
      <c r="G34" s="275" t="str">
        <f>IF(Instructions!$B$1="CZ","Vzdělávání","Training")</f>
        <v>Training</v>
      </c>
      <c r="H34" s="165">
        <f>RawData!N74</f>
        <v>0</v>
      </c>
      <c r="I34" s="165">
        <f>RawData!N111</f>
        <v>0</v>
      </c>
      <c r="J34" s="165">
        <f>RawData!N148</f>
        <v>0</v>
      </c>
      <c r="K34" s="165">
        <f>RawData!N185</f>
        <v>0</v>
      </c>
      <c r="L34" s="138"/>
      <c r="M34" s="11"/>
    </row>
    <row r="35" spans="1:13" x14ac:dyDescent="0.25">
      <c r="A35" s="250" t="str">
        <f>IF(Instructions!$B$1="CZ","VÝCHOZÍ STAV HOTOVOSTI","OPENING BALANCE")</f>
        <v>OPENING BALANCE</v>
      </c>
      <c r="B35" s="145">
        <f>RawData!D94</f>
        <v>0</v>
      </c>
      <c r="C35" s="11"/>
      <c r="D35" s="11"/>
      <c r="E35" s="11"/>
      <c r="F35" s="11"/>
      <c r="G35" s="275" t="str">
        <f>IF(Instructions!$B$1="CZ","Úvěry","Credits")</f>
        <v>Credits</v>
      </c>
      <c r="H35" s="165">
        <f>RawData!N75</f>
        <v>0</v>
      </c>
      <c r="I35" s="165">
        <f>RawData!N112</f>
        <v>0</v>
      </c>
      <c r="J35" s="165">
        <f>RawData!N149</f>
        <v>0</v>
      </c>
      <c r="K35" s="165">
        <f>RawData!N186</f>
        <v>0</v>
      </c>
      <c r="L35" s="138">
        <f>SUM(H35:K35)</f>
        <v>0</v>
      </c>
      <c r="M35" s="11"/>
    </row>
    <row r="36" spans="1:13" x14ac:dyDescent="0.25">
      <c r="A36" s="250" t="str">
        <f>IF(Instructions!$B$1="CZ","Tržby","Sales revenues")</f>
        <v>Sales revenues</v>
      </c>
      <c r="B36" s="145">
        <f>RawData!D95</f>
        <v>0</v>
      </c>
      <c r="C36" s="11"/>
      <c r="D36" s="11"/>
      <c r="E36" s="11"/>
      <c r="F36" s="11"/>
      <c r="G36" s="275" t="str">
        <f>IF(Instructions!$B$1="CZ","Splátky","Repayments")</f>
        <v>Repayments</v>
      </c>
      <c r="H36" s="165">
        <f>RawData!N76</f>
        <v>0</v>
      </c>
      <c r="I36" s="165">
        <f>RawData!N113</f>
        <v>0</v>
      </c>
      <c r="J36" s="165">
        <f>RawData!N150</f>
        <v>0</v>
      </c>
      <c r="K36" s="165">
        <f>RawData!N187</f>
        <v>0</v>
      </c>
      <c r="L36" s="138">
        <f>SUM(H36:K36)</f>
        <v>0</v>
      </c>
      <c r="M36" s="11"/>
    </row>
    <row r="37" spans="1:13" x14ac:dyDescent="0.25">
      <c r="A37" s="250" t="str">
        <f>IF(Instructions!$B$1="CZ","Investiční úvěry","Investment credits")</f>
        <v>Investment credits</v>
      </c>
      <c r="B37" s="145">
        <f>RawData!D96</f>
        <v>0</v>
      </c>
      <c r="C37" s="11"/>
      <c r="D37" s="11"/>
      <c r="E37" s="11"/>
      <c r="F37" s="11"/>
      <c r="G37" s="275" t="str">
        <f>IF(Instructions!$B$1="CZ","Překlenovací úvěr","Extended credit")</f>
        <v>Extended credit</v>
      </c>
      <c r="H37" s="165">
        <f>RawData!N77</f>
        <v>0</v>
      </c>
      <c r="I37" s="165">
        <f>RawData!N114</f>
        <v>0</v>
      </c>
      <c r="J37" s="165">
        <f>RawData!N151</f>
        <v>0</v>
      </c>
      <c r="K37" s="165">
        <f>RawData!N188</f>
        <v>0</v>
      </c>
      <c r="L37" s="138">
        <f>SUM(H37:K37)</f>
        <v>0</v>
      </c>
      <c r="M37" s="11"/>
    </row>
    <row r="38" spans="1:13" x14ac:dyDescent="0.25">
      <c r="A38" s="250" t="str">
        <f>IF(Instructions!$B$1="CZ","Překlenovací úvěr","Extended credit")</f>
        <v>Extended credit</v>
      </c>
      <c r="B38" s="145">
        <f>RawData!D97</f>
        <v>0</v>
      </c>
      <c r="C38" s="11"/>
      <c r="D38" s="11"/>
      <c r="E38" s="11"/>
      <c r="F38" s="11"/>
      <c r="G38" s="275" t="str">
        <f>IF(Instructions!$B$1="CZ","Hotovost","Cash")</f>
        <v>Cash</v>
      </c>
      <c r="H38" s="165">
        <f>RawData!N78</f>
        <v>0</v>
      </c>
      <c r="I38" s="165">
        <f>RawData!N115</f>
        <v>0</v>
      </c>
      <c r="J38" s="165">
        <f>RawData!N152</f>
        <v>0</v>
      </c>
      <c r="K38" s="165">
        <f>RawData!N189</f>
        <v>0</v>
      </c>
      <c r="L38" s="197"/>
      <c r="M38" s="11"/>
    </row>
    <row r="39" spans="1:13" x14ac:dyDescent="0.25">
      <c r="A39" s="250" t="str">
        <f>IF(Instructions!$B$1="CZ","Mimořádné příjmy","Extraordinary incomes")</f>
        <v>Extraordinary incomes</v>
      </c>
      <c r="B39" s="145">
        <f>RawData!D98</f>
        <v>0</v>
      </c>
      <c r="C39" s="11"/>
      <c r="D39" s="11"/>
      <c r="E39" s="11"/>
      <c r="F39" s="11"/>
      <c r="G39" s="275" t="str">
        <f>IF(Instructions!$B$1="CZ","Cena akcie","Stockprice")</f>
        <v>Stockprice</v>
      </c>
      <c r="H39" s="165">
        <f>RawData!N79</f>
        <v>0</v>
      </c>
      <c r="I39" s="165">
        <f>RawData!N116</f>
        <v>0</v>
      </c>
      <c r="J39" s="165">
        <f>RawData!N153</f>
        <v>0</v>
      </c>
      <c r="K39" s="165">
        <f>RawData!N190</f>
        <v>0</v>
      </c>
      <c r="L39" s="138"/>
      <c r="M39" s="11"/>
    </row>
    <row r="40" spans="1:13" x14ac:dyDescent="0.25">
      <c r="A40" s="250" t="str">
        <f>IF(Instructions!$B$1="CZ","PŘÍJMY CELKEM","TOTAL REVENUES")</f>
        <v>TOTAL REVENUES</v>
      </c>
      <c r="B40" s="145">
        <f>RawData!D99</f>
        <v>0</v>
      </c>
      <c r="C40" s="11"/>
      <c r="D40" s="11"/>
      <c r="E40" s="11"/>
      <c r="F40" s="11"/>
      <c r="M40" s="11"/>
    </row>
    <row r="41" spans="1:13" x14ac:dyDescent="0.25">
      <c r="A41" s="250" t="str">
        <f>IF(Instructions!$B$1="CZ","Investice","Investments")</f>
        <v>Investments</v>
      </c>
      <c r="B41" s="145">
        <f>RawData!D100</f>
        <v>0</v>
      </c>
      <c r="C41" s="130"/>
      <c r="D41" s="11"/>
      <c r="E41" s="11"/>
      <c r="F41" s="11"/>
      <c r="M41" s="11"/>
    </row>
    <row r="42" spans="1:13" x14ac:dyDescent="0.25">
      <c r="A42" s="250" t="str">
        <f>IF(Instructions!$B$1="CZ","Marketingové oddělení","Marketing department")</f>
        <v>Marketing department</v>
      </c>
      <c r="B42" s="145">
        <f>RawData!D101</f>
        <v>0</v>
      </c>
      <c r="C42" s="130"/>
      <c r="D42" s="11"/>
      <c r="E42" s="11"/>
      <c r="F42" s="11"/>
      <c r="M42" s="11"/>
    </row>
    <row r="43" spans="1:13" x14ac:dyDescent="0.25">
      <c r="A43" s="250" t="str">
        <f>IF(Instructions!$B$1="CZ","Průzkumy","Market research")</f>
        <v>Market research</v>
      </c>
      <c r="B43" s="145">
        <f>RawData!D102</f>
        <v>0</v>
      </c>
      <c r="C43" s="130"/>
      <c r="D43" s="11"/>
      <c r="E43" s="11"/>
      <c r="F43" s="11"/>
      <c r="M43" s="11"/>
    </row>
    <row r="44" spans="1:13" x14ac:dyDescent="0.25">
      <c r="A44" s="250" t="str">
        <f>IF(Instructions!$B$1="CZ","Úroky","Interests")</f>
        <v>Interests</v>
      </c>
      <c r="B44" s="145">
        <f>RawData!D103</f>
        <v>0</v>
      </c>
      <c r="C44" s="130"/>
      <c r="D44" s="11"/>
      <c r="E44" s="11"/>
      <c r="F44" s="11"/>
      <c r="M44" s="11"/>
    </row>
    <row r="45" spans="1:13" x14ac:dyDescent="0.25">
      <c r="A45" s="250" t="str">
        <f>IF(Instructions!$B$1="CZ","Splátky","Repayments")</f>
        <v>Repayments</v>
      </c>
      <c r="B45" s="145">
        <f>RawData!D104</f>
        <v>0</v>
      </c>
      <c r="C45" s="130"/>
      <c r="D45" s="11"/>
      <c r="E45" s="11"/>
      <c r="F45" s="11"/>
      <c r="M45" s="11"/>
    </row>
    <row r="46" spans="1:13" x14ac:dyDescent="0.25">
      <c r="A46" s="250" t="str">
        <f>IF(Instructions!$B$1="CZ","Materiál","Material")</f>
        <v>Material</v>
      </c>
      <c r="B46" s="145">
        <f>RawData!D105</f>
        <v>0</v>
      </c>
      <c r="C46" s="130"/>
      <c r="D46" s="11"/>
      <c r="E46" s="11"/>
      <c r="F46" s="11"/>
      <c r="M46" s="11"/>
    </row>
    <row r="47" spans="1:13" x14ac:dyDescent="0.25">
      <c r="A47" s="250" t="str">
        <f>IF(Instructions!$B$1="CZ","Výroba","Production")</f>
        <v>Production</v>
      </c>
      <c r="B47" s="145">
        <f>RawData!D106</f>
        <v>0</v>
      </c>
      <c r="C47" s="130"/>
      <c r="D47" s="11"/>
      <c r="E47" s="11"/>
      <c r="F47" s="11"/>
      <c r="M47" s="11"/>
    </row>
    <row r="48" spans="1:13" x14ac:dyDescent="0.25">
      <c r="A48" s="250" t="str">
        <f>IF(Instructions!$B$1="CZ","Neuspokojená poptávka","Out-of-stock costs")</f>
        <v>Out-of-stock costs</v>
      </c>
      <c r="B48" s="145">
        <f>RawData!D107</f>
        <v>0</v>
      </c>
      <c r="C48" s="130"/>
      <c r="D48" s="11"/>
      <c r="E48" s="11"/>
      <c r="F48" s="11"/>
      <c r="M48" s="11"/>
    </row>
    <row r="49" spans="1:13" x14ac:dyDescent="0.25">
      <c r="A49" s="250" t="str">
        <f>IF(Instructions!$B$1="CZ","Skladování materiálu","Storage costs - raw materials")</f>
        <v>Storage costs - raw materials</v>
      </c>
      <c r="B49" s="145">
        <f>RawData!D108</f>
        <v>0</v>
      </c>
      <c r="C49" s="130"/>
      <c r="D49" s="11"/>
      <c r="E49" s="11"/>
      <c r="F49" s="11"/>
      <c r="M49" s="11"/>
    </row>
    <row r="50" spans="1:13" x14ac:dyDescent="0.25">
      <c r="A50" s="250" t="str">
        <f>IF(Instructions!$B$1="CZ","Skladování výrobků","Storage costs - end products")</f>
        <v>Storage costs - end products</v>
      </c>
      <c r="B50" s="145">
        <f>RawData!D109</f>
        <v>0</v>
      </c>
      <c r="C50" s="130"/>
      <c r="D50" s="11"/>
      <c r="E50" s="11"/>
      <c r="F50" s="11"/>
      <c r="M50" s="11"/>
    </row>
    <row r="51" spans="1:13" x14ac:dyDescent="0.25">
      <c r="A51" s="250" t="str">
        <f>IF(Instructions!$B$1="CZ","Daně","Taxes")</f>
        <v>Taxes</v>
      </c>
      <c r="B51" s="145">
        <f>RawData!D110</f>
        <v>0</v>
      </c>
      <c r="C51" s="11"/>
      <c r="D51" s="11"/>
      <c r="E51" s="11"/>
      <c r="F51" s="11"/>
      <c r="M51" s="11"/>
    </row>
    <row r="52" spans="1:13" x14ac:dyDescent="0.25">
      <c r="A52" s="250" t="str">
        <f>IF(Instructions!$B$1="CZ","Mimořádné výdaje","Extraordinary expenses")</f>
        <v>Extraordinary expenses</v>
      </c>
      <c r="B52" s="145">
        <f>RawData!D111</f>
        <v>0</v>
      </c>
      <c r="C52" s="11"/>
      <c r="D52" s="11"/>
      <c r="E52" s="11"/>
      <c r="F52" s="11"/>
      <c r="M52" s="11"/>
    </row>
    <row r="53" spans="1:13" x14ac:dyDescent="0.25">
      <c r="A53" s="250" t="str">
        <f>IF(Instructions!$B$1="CZ","VÝDAJE CELKEM","TOTAL EXPENSES")</f>
        <v>TOTAL EXPENSES</v>
      </c>
      <c r="B53" s="145">
        <f>RawData!D112</f>
        <v>0</v>
      </c>
      <c r="C53" s="11"/>
      <c r="D53" s="11"/>
      <c r="E53" s="130"/>
      <c r="F53" s="11"/>
      <c r="M53" s="11"/>
    </row>
    <row r="54" spans="1:13" x14ac:dyDescent="0.25">
      <c r="A54" s="250" t="str">
        <f>IF(Instructions!$B$1="CZ","KONEČNÝ STAV HOTOVOSTI","CASH BALANCE")</f>
        <v>CASH BALANCE</v>
      </c>
      <c r="B54" s="145">
        <f>B35+B40-B53</f>
        <v>0</v>
      </c>
      <c r="C54" s="11"/>
      <c r="D54" s="11"/>
      <c r="E54" s="130"/>
      <c r="F54" s="11"/>
      <c r="M54" s="11"/>
    </row>
    <row r="55" spans="1:13" ht="16.5" thickBot="1" x14ac:dyDescent="0.3">
      <c r="A55" s="11"/>
      <c r="B55" s="11"/>
      <c r="C55" s="11"/>
      <c r="D55" s="11"/>
      <c r="E55" s="130"/>
      <c r="F55" s="11"/>
      <c r="M55" s="11"/>
    </row>
    <row r="56" spans="1:13" ht="18.75" x14ac:dyDescent="0.3">
      <c r="A56" s="367" t="str">
        <f>IF(Instructions!$B$1="CZ","ROZVAHA","BALANCE SHEET")</f>
        <v>BALANCE SHEET</v>
      </c>
      <c r="B56" s="368"/>
      <c r="C56" s="368"/>
      <c r="D56" s="368"/>
      <c r="E56" s="369"/>
      <c r="F56" s="11"/>
      <c r="M56" s="11"/>
    </row>
    <row r="57" spans="1:13" x14ac:dyDescent="0.25">
      <c r="A57" s="148" t="str">
        <f>IF(Instructions!$B$1="CZ","Budovy","Buildings")</f>
        <v>Buildings</v>
      </c>
      <c r="B57" s="334">
        <f>RawData!D121</f>
        <v>0</v>
      </c>
      <c r="C57" s="132"/>
      <c r="D57" s="132" t="str">
        <f>IF(Instructions!$B$1="CZ","Vlastní kapitál","Equity")</f>
        <v>Equity</v>
      </c>
      <c r="E57" s="336">
        <f>RawData!D132</f>
        <v>0</v>
      </c>
      <c r="F57" s="11"/>
      <c r="M57" s="11"/>
    </row>
    <row r="58" spans="1:13" x14ac:dyDescent="0.25">
      <c r="A58" s="148" t="str">
        <f>IF(Instructions!$B$1="CZ","Stroje","Machines")</f>
        <v>Machines</v>
      </c>
      <c r="B58" s="334">
        <f>RawData!D122</f>
        <v>0</v>
      </c>
      <c r="C58" s="132"/>
      <c r="D58" s="132" t="str">
        <f>IF(Instructions!$B$1="CZ","Úvěry","Credits")</f>
        <v>Credits</v>
      </c>
      <c r="E58" s="336">
        <f>RawData!D133</f>
        <v>0</v>
      </c>
      <c r="F58" s="11"/>
      <c r="M58" s="11"/>
    </row>
    <row r="59" spans="1:13" x14ac:dyDescent="0.25">
      <c r="A59" s="148" t="str">
        <f>IF(Instructions!$B$1="CZ","Suroviny","Raw materials")</f>
        <v>Raw materials</v>
      </c>
      <c r="B59" s="334">
        <f>RawData!D123</f>
        <v>0</v>
      </c>
      <c r="C59" s="132"/>
      <c r="D59" s="132" t="str">
        <f>IF(Instructions!$B$1="CZ","Překlenovací úvěr","Extended credit")</f>
        <v>Extended credit</v>
      </c>
      <c r="E59" s="336">
        <f>RawData!D134</f>
        <v>0</v>
      </c>
      <c r="F59" s="11"/>
      <c r="M59" s="11"/>
    </row>
    <row r="60" spans="1:13" x14ac:dyDescent="0.25">
      <c r="A60" s="148" t="str">
        <f>IF(Instructions!$B$1="CZ","Hotové výrobky","End products")</f>
        <v>End products</v>
      </c>
      <c r="B60" s="334">
        <f>RawData!D124</f>
        <v>0</v>
      </c>
      <c r="C60" s="132"/>
      <c r="D60" s="132" t="str">
        <f>IF(Instructions!$B$1="CZ","Daně","Taxes")</f>
        <v>Taxes</v>
      </c>
      <c r="E60" s="336">
        <f>RawData!D135</f>
        <v>0</v>
      </c>
      <c r="F60" s="11"/>
      <c r="M60" s="11"/>
    </row>
    <row r="61" spans="1:13" x14ac:dyDescent="0.25">
      <c r="A61" s="148" t="str">
        <f>IF(Instructions!$B$1="CZ","Hotovost","Cash")</f>
        <v>Cash</v>
      </c>
      <c r="B61" s="334">
        <f>RawData!D125</f>
        <v>0</v>
      </c>
      <c r="C61" s="132"/>
      <c r="D61" s="132"/>
      <c r="E61" s="331"/>
      <c r="F61" s="11"/>
      <c r="M61" s="11"/>
    </row>
    <row r="62" spans="1:13" ht="16.5" thickBot="1" x14ac:dyDescent="0.3">
      <c r="A62" s="150" t="str">
        <f>IF(Instructions!$B$1="CZ","CELKEM","TOTAL")</f>
        <v>TOTAL</v>
      </c>
      <c r="B62" s="335">
        <f>B57+B58+B59+B60+B61</f>
        <v>0</v>
      </c>
      <c r="C62" s="152"/>
      <c r="D62" s="152" t="str">
        <f>IF(Instructions!$B$1="CZ","CELKEM","TOTAL")</f>
        <v>TOTAL</v>
      </c>
      <c r="E62" s="332">
        <f>E57+E58+E59+E60</f>
        <v>0</v>
      </c>
      <c r="F62" s="11"/>
      <c r="M62" s="11"/>
    </row>
    <row r="63" spans="1:13" ht="16.5" thickBot="1" x14ac:dyDescent="0.3">
      <c r="A63" s="11"/>
      <c r="B63" s="11"/>
      <c r="C63" s="11"/>
      <c r="D63" s="11"/>
      <c r="E63" s="130"/>
      <c r="F63" s="11"/>
      <c r="M63" s="11"/>
    </row>
    <row r="64" spans="1:13" ht="18.75" x14ac:dyDescent="0.3">
      <c r="A64" s="367" t="s">
        <v>26</v>
      </c>
      <c r="B64" s="369"/>
      <c r="C64" s="11"/>
      <c r="D64" s="11"/>
      <c r="E64" s="130"/>
      <c r="F64" s="11"/>
      <c r="M64" s="11"/>
    </row>
    <row r="65" spans="1:13" x14ac:dyDescent="0.25">
      <c r="A65" s="137" t="str">
        <f>Instructions!B5</f>
        <v>Firm</v>
      </c>
      <c r="B65" s="319">
        <f>RawData!D139</f>
        <v>0</v>
      </c>
      <c r="C65" s="11"/>
      <c r="D65" s="11"/>
      <c r="E65" s="130"/>
      <c r="F65" s="11"/>
      <c r="M65" s="11"/>
    </row>
    <row r="66" spans="1:13" x14ac:dyDescent="0.25">
      <c r="A66" s="137" t="s">
        <v>27</v>
      </c>
      <c r="B66" s="319">
        <f>RawData!D145</f>
        <v>0</v>
      </c>
      <c r="C66" s="11"/>
      <c r="D66" s="11"/>
      <c r="E66" s="130"/>
      <c r="F66" s="11"/>
      <c r="M66" s="11"/>
    </row>
    <row r="67" spans="1:13" x14ac:dyDescent="0.25">
      <c r="A67" s="137" t="s">
        <v>28</v>
      </c>
      <c r="B67" s="319">
        <f>RawData!D146</f>
        <v>0</v>
      </c>
      <c r="C67" s="11"/>
      <c r="D67" s="130"/>
      <c r="E67" s="11"/>
      <c r="F67" s="11"/>
      <c r="M67" s="11"/>
    </row>
    <row r="68" spans="1:13" x14ac:dyDescent="0.25">
      <c r="A68" s="137" t="s">
        <v>29</v>
      </c>
      <c r="B68" s="319">
        <f>RawData!D147</f>
        <v>0</v>
      </c>
      <c r="C68" s="11"/>
      <c r="D68" s="11"/>
      <c r="E68" s="11"/>
      <c r="F68" s="11"/>
      <c r="M68" s="11"/>
    </row>
    <row r="69" spans="1:13" ht="16.5" thickBot="1" x14ac:dyDescent="0.3">
      <c r="A69" s="141" t="s">
        <v>30</v>
      </c>
      <c r="B69" s="320">
        <f>RawData!D148</f>
        <v>0</v>
      </c>
      <c r="C69" s="11"/>
      <c r="D69" s="11"/>
      <c r="E69" s="11"/>
      <c r="F69" s="11"/>
      <c r="M69" s="130"/>
    </row>
    <row r="70" spans="1:13" ht="16.5" thickBot="1" x14ac:dyDescent="0.3">
      <c r="A70" s="11"/>
      <c r="B70" s="11"/>
      <c r="C70" s="11"/>
      <c r="D70" s="11"/>
      <c r="E70" s="11"/>
      <c r="F70" s="11"/>
      <c r="M70" s="11"/>
    </row>
    <row r="71" spans="1:13" ht="19.5" thickBot="1" x14ac:dyDescent="0.35">
      <c r="A71" s="371" t="str">
        <f>IF(Instructions!$B$1="CZ","VÝKAZ ZISKŮ A ZTRÁT","PROFIT AND LOSS ACCOUNT")</f>
        <v>PROFIT AND LOSS ACCOUNT</v>
      </c>
      <c r="B71" s="372"/>
      <c r="C71" s="11"/>
      <c r="D71" s="11"/>
      <c r="E71" s="11"/>
      <c r="F71" s="11"/>
      <c r="G71" s="134" t="str">
        <f>IF(Instructions!$B$1="CZ","Ziskovost-STOLY","Profitability-DESKS")</f>
        <v>Profitability-DESKS</v>
      </c>
      <c r="H71" s="134" t="str">
        <f>IF(Instructions!$B$1="CZ","SKŘÍŇKY","CABINETS")</f>
        <v>CABINETS</v>
      </c>
      <c r="M71" s="11"/>
    </row>
    <row r="72" spans="1:13" x14ac:dyDescent="0.25">
      <c r="A72" s="178" t="str">
        <f>IF(Instructions!$B$1="CZ","Tržby","Sales revenues")</f>
        <v>Sales revenues</v>
      </c>
      <c r="B72" s="330">
        <f>RawData!D170</f>
        <v>0</v>
      </c>
      <c r="D72" s="11"/>
      <c r="E72" s="11"/>
      <c r="F72" s="11"/>
      <c r="G72" s="66">
        <f>B9</f>
        <v>0</v>
      </c>
      <c r="H72" s="66">
        <f>C9</f>
        <v>0</v>
      </c>
      <c r="I72" s="1">
        <f>G72+H72-B72</f>
        <v>0</v>
      </c>
      <c r="M72" s="11"/>
    </row>
    <row r="73" spans="1:13" x14ac:dyDescent="0.25">
      <c r="A73" s="148" t="str">
        <f>IF(Instructions!$B$1="CZ","Náklady prodaných výrobků","Costs of goods sold")</f>
        <v>Costs of goods sold</v>
      </c>
      <c r="B73" s="331">
        <f>RawData!D171</f>
        <v>0</v>
      </c>
      <c r="C73" s="11"/>
      <c r="D73" s="11"/>
      <c r="E73" s="11"/>
      <c r="F73" s="11"/>
      <c r="G73" s="66" t="e">
        <f>SUM(G74:G76)</f>
        <v>#DIV/0!</v>
      </c>
      <c r="H73" s="66" t="e">
        <f>SUM(H74:H76)</f>
        <v>#DIV/0!</v>
      </c>
      <c r="I73" s="1" t="e">
        <f t="shared" ref="I73:I87" si="1">G73+H73-B73</f>
        <v>#DIV/0!</v>
      </c>
      <c r="M73" s="11"/>
    </row>
    <row r="74" spans="1:13" x14ac:dyDescent="0.25">
      <c r="A74" s="148" t="str">
        <f>IF(Instructions!$B$1="CZ","   Suroviny prodaných výrobků","   Raw materials in sold products")</f>
        <v xml:space="preserve">   Raw materials in sold products</v>
      </c>
      <c r="B74" s="180">
        <f>RawData!D172</f>
        <v>0</v>
      </c>
      <c r="C74" s="130"/>
      <c r="D74" s="130"/>
      <c r="E74" s="11"/>
      <c r="F74" s="11"/>
      <c r="G74" s="66" t="e">
        <f>B9/(B9+C9)*B74</f>
        <v>#DIV/0!</v>
      </c>
      <c r="H74" s="66" t="e">
        <f>C9/(B9+C9)*B74</f>
        <v>#DIV/0!</v>
      </c>
      <c r="I74" s="1" t="e">
        <f t="shared" si="1"/>
        <v>#DIV/0!</v>
      </c>
      <c r="M74" s="11"/>
    </row>
    <row r="75" spans="1:13" x14ac:dyDescent="0.25">
      <c r="A75" s="148" t="str">
        <f>IF(Instructions!$B$1="CZ","   Výrobní náklady","   Production costs")</f>
        <v xml:space="preserve">   Production costs</v>
      </c>
      <c r="B75" s="180">
        <f>RawData!D173</f>
        <v>0</v>
      </c>
      <c r="C75" s="11"/>
      <c r="D75" s="130"/>
      <c r="E75" s="11"/>
      <c r="F75" s="11"/>
      <c r="G75" s="66" t="e">
        <f>B9/(B9+C9)*B75</f>
        <v>#DIV/0!</v>
      </c>
      <c r="H75" s="66" t="e">
        <f>C9/(B9+C9)*B75</f>
        <v>#DIV/0!</v>
      </c>
      <c r="I75" s="1" t="e">
        <f t="shared" si="1"/>
        <v>#DIV/0!</v>
      </c>
      <c r="M75" s="11"/>
    </row>
    <row r="76" spans="1:13" x14ac:dyDescent="0.25">
      <c r="A76" s="178" t="str">
        <f>IF(Instructions!$B$1="CZ","   Změna stavu zásob výrobků","   Change of stock - end products")</f>
        <v xml:space="preserve">   Change of stock - end products</v>
      </c>
      <c r="B76" s="188">
        <f>RawData!D174</f>
        <v>0</v>
      </c>
      <c r="C76" s="130"/>
      <c r="D76" s="11"/>
      <c r="E76" s="11"/>
      <c r="F76" s="11"/>
      <c r="G76" s="66">
        <f>(B13-B16)*Data!B9</f>
        <v>0</v>
      </c>
      <c r="H76" s="66">
        <f>(C13-C16)*Data!B10</f>
        <v>0</v>
      </c>
      <c r="I76" s="1">
        <f t="shared" si="1"/>
        <v>0</v>
      </c>
      <c r="M76" s="11"/>
    </row>
    <row r="77" spans="1:13" ht="16.5" thickBot="1" x14ac:dyDescent="0.3">
      <c r="A77" s="150" t="str">
        <f>IF(Instructions!$B$1="CZ","Hrubý zisk","Gross result")</f>
        <v>Gross result</v>
      </c>
      <c r="B77" s="332">
        <f>RawData!D175</f>
        <v>0</v>
      </c>
      <c r="C77" s="11"/>
      <c r="D77" s="11"/>
      <c r="E77" s="11"/>
      <c r="F77" s="11"/>
      <c r="G77" s="66" t="e">
        <f>G72-G73</f>
        <v>#DIV/0!</v>
      </c>
      <c r="H77" s="66" t="e">
        <f>H72-H73</f>
        <v>#DIV/0!</v>
      </c>
      <c r="I77" s="1" t="e">
        <f t="shared" si="1"/>
        <v>#DIV/0!</v>
      </c>
      <c r="M77" s="11"/>
    </row>
    <row r="78" spans="1:13" x14ac:dyDescent="0.25">
      <c r="A78" s="148" t="str">
        <f>IF(Instructions!$B$1="CZ","Nepřímé náklady","Indirect costs")</f>
        <v>Indirect costs</v>
      </c>
      <c r="B78" s="331">
        <f>RawData!D176</f>
        <v>0</v>
      </c>
      <c r="C78" s="11"/>
      <c r="D78" s="11"/>
      <c r="E78" s="11"/>
      <c r="F78" s="11"/>
      <c r="G78" s="66" t="e">
        <f>SUM(G79:G83)</f>
        <v>#DIV/0!</v>
      </c>
      <c r="H78" s="66" t="e">
        <f>SUM(H79:H83)</f>
        <v>#DIV/0!</v>
      </c>
      <c r="I78" s="1" t="e">
        <f t="shared" si="1"/>
        <v>#DIV/0!</v>
      </c>
      <c r="M78" s="11"/>
    </row>
    <row r="79" spans="1:13" x14ac:dyDescent="0.25">
      <c r="A79" s="148" t="str">
        <f>IF(Instructions!$B$1="CZ","   Průzkum trhu","   Market survey")</f>
        <v xml:space="preserve">   Market survey</v>
      </c>
      <c r="B79" s="331">
        <f>RawData!D177</f>
        <v>0</v>
      </c>
      <c r="C79" s="11"/>
      <c r="D79" s="11"/>
      <c r="E79" s="11"/>
      <c r="F79" s="11"/>
      <c r="G79" s="66" t="e">
        <f>B9/(B9+C9)*B79</f>
        <v>#DIV/0!</v>
      </c>
      <c r="H79" s="66" t="e">
        <f>C9/(B9+C9)*B79</f>
        <v>#DIV/0!</v>
      </c>
      <c r="I79" s="1" t="e">
        <f t="shared" si="1"/>
        <v>#DIV/0!</v>
      </c>
      <c r="M79" s="11"/>
    </row>
    <row r="80" spans="1:13" x14ac:dyDescent="0.25">
      <c r="A80" s="148" t="str">
        <f>IF(Instructions!$B$1="CZ","   Marketingové oddělení","   Sales staff")</f>
        <v xml:space="preserve">   Sales staff</v>
      </c>
      <c r="B80" s="331">
        <f>RawData!D178</f>
        <v>0</v>
      </c>
      <c r="C80" s="11"/>
      <c r="D80" s="11"/>
      <c r="E80" s="11"/>
      <c r="F80" s="11"/>
      <c r="G80" s="66" t="e">
        <f>B9/(B9+C9)*B80</f>
        <v>#DIV/0!</v>
      </c>
      <c r="H80" s="66" t="e">
        <f>C9/(B9+C9)*B80</f>
        <v>#DIV/0!</v>
      </c>
      <c r="I80" s="1" t="e">
        <f t="shared" si="1"/>
        <v>#DIV/0!</v>
      </c>
      <c r="M80" s="11"/>
    </row>
    <row r="81" spans="1:13" x14ac:dyDescent="0.25">
      <c r="A81" s="148" t="str">
        <f>IF(Instructions!$B$1="CZ","   Náklady neuspokojené poptávky","   Out-of-stock costs")</f>
        <v xml:space="preserve">   Out-of-stock costs</v>
      </c>
      <c r="B81" s="331">
        <f>RawData!D179</f>
        <v>0</v>
      </c>
      <c r="C81" s="11"/>
      <c r="D81" s="11"/>
      <c r="E81" s="11"/>
      <c r="F81" s="11"/>
      <c r="G81" s="66">
        <f>IF(AND(B5&lt;1300,B8-B7&lt;0),(B7-B8)*25,0)</f>
        <v>0</v>
      </c>
      <c r="H81" s="66">
        <f>IF(AND(C5&lt;2800,C8-C7&lt;0),(C7-C8)*50,0)</f>
        <v>0</v>
      </c>
      <c r="I81" s="1">
        <f t="shared" si="1"/>
        <v>0</v>
      </c>
      <c r="M81" s="11"/>
    </row>
    <row r="82" spans="1:13" x14ac:dyDescent="0.25">
      <c r="A82" s="148" t="str">
        <f>IF(Instructions!$B$1="CZ","   Skladovací náklady - suroviny","   Storage costs - raw materials")</f>
        <v xml:space="preserve">   Storage costs - raw materials</v>
      </c>
      <c r="B82" s="331">
        <f>RawData!D180</f>
        <v>0</v>
      </c>
      <c r="C82" s="11"/>
      <c r="D82" s="11"/>
      <c r="E82" s="11"/>
      <c r="F82" s="11"/>
      <c r="G82" s="66" t="e">
        <f>B9/(B9+C9)*B82</f>
        <v>#DIV/0!</v>
      </c>
      <c r="H82" s="66" t="e">
        <f>C9/(B9+C9)*B82</f>
        <v>#DIV/0!</v>
      </c>
      <c r="I82" s="1" t="e">
        <f t="shared" si="1"/>
        <v>#DIV/0!</v>
      </c>
      <c r="M82" s="11"/>
    </row>
    <row r="83" spans="1:13" x14ac:dyDescent="0.25">
      <c r="A83" s="178" t="str">
        <f>IF(Instructions!$B$1="CZ","   Skladovací náklady - výrobky","   Storage costs - end products")</f>
        <v xml:space="preserve">   Storage costs - end products</v>
      </c>
      <c r="B83" s="188">
        <f>RawData!D181</f>
        <v>0</v>
      </c>
      <c r="C83" s="11"/>
      <c r="D83" s="11"/>
      <c r="E83" s="11"/>
      <c r="F83" s="11"/>
      <c r="G83" s="66">
        <f>B16*Data!F3</f>
        <v>0</v>
      </c>
      <c r="H83" s="66">
        <f>C16*Data!F3</f>
        <v>0</v>
      </c>
      <c r="I83" s="1">
        <f t="shared" si="1"/>
        <v>0</v>
      </c>
      <c r="M83" s="11"/>
    </row>
    <row r="84" spans="1:13" ht="16.5" thickBot="1" x14ac:dyDescent="0.3">
      <c r="A84" s="148" t="str">
        <f>IF(Instructions!$B$1="CZ","Provozní zisk","Operating result")</f>
        <v>Operating result</v>
      </c>
      <c r="B84" s="331">
        <f>RawData!D182</f>
        <v>0</v>
      </c>
      <c r="C84" s="11"/>
      <c r="D84" s="11"/>
      <c r="E84" s="11"/>
      <c r="F84" s="11"/>
      <c r="G84" s="66" t="e">
        <f>G77-G78</f>
        <v>#DIV/0!</v>
      </c>
      <c r="H84" s="66" t="e">
        <f>H77-H78</f>
        <v>#DIV/0!</v>
      </c>
      <c r="I84" s="1" t="e">
        <f t="shared" si="1"/>
        <v>#DIV/0!</v>
      </c>
      <c r="M84" s="11"/>
    </row>
    <row r="85" spans="1:13" x14ac:dyDescent="0.25">
      <c r="A85" s="211" t="str">
        <f>IF(Instructions!$B$1="CZ","Zaplacené úroky","Capital costs")</f>
        <v>Capital costs</v>
      </c>
      <c r="B85" s="333">
        <f>RawData!D183</f>
        <v>0</v>
      </c>
      <c r="C85" s="11"/>
      <c r="D85" s="11"/>
      <c r="E85" s="11"/>
      <c r="F85" s="11"/>
      <c r="G85" s="66" t="e">
        <f>B9/(B9+C9)*B85</f>
        <v>#DIV/0!</v>
      </c>
      <c r="H85" s="66" t="e">
        <f>C9/(B9+C9)*B85</f>
        <v>#DIV/0!</v>
      </c>
      <c r="I85" s="1" t="e">
        <f t="shared" si="1"/>
        <v>#DIV/0!</v>
      </c>
      <c r="M85" s="11"/>
    </row>
    <row r="86" spans="1:13" x14ac:dyDescent="0.25">
      <c r="A86" s="148" t="str">
        <f>IF(Instructions!$B$1="CZ","Mimořádné výdaje","Extraordinary expenses")</f>
        <v>Extraordinary expenses</v>
      </c>
      <c r="B86" s="331">
        <f>RawData!D184</f>
        <v>0</v>
      </c>
      <c r="C86" s="11"/>
      <c r="D86" s="11"/>
      <c r="E86" s="11"/>
      <c r="F86" s="11"/>
      <c r="G86" s="66" t="e">
        <f>B9/(B9+C9)*B86</f>
        <v>#DIV/0!</v>
      </c>
      <c r="H86" s="66" t="e">
        <f>C9/(B9+C9)*B86</f>
        <v>#DIV/0!</v>
      </c>
      <c r="I86" s="1" t="e">
        <f t="shared" si="1"/>
        <v>#DIV/0!</v>
      </c>
      <c r="M86" s="11"/>
    </row>
    <row r="87" spans="1:13" x14ac:dyDescent="0.25">
      <c r="A87" s="148" t="str">
        <f>IF(Instructions!$B$1="CZ","Zisk z provozní činnosti před zdaněním","Normal operating result before tax")</f>
        <v>Normal operating result before tax</v>
      </c>
      <c r="B87" s="331">
        <f>RawData!D185</f>
        <v>0</v>
      </c>
      <c r="C87" s="11"/>
      <c r="D87" s="11"/>
      <c r="E87" s="11"/>
      <c r="F87" s="11"/>
      <c r="G87" s="66" t="e">
        <f>G84-G85-G86</f>
        <v>#DIV/0!</v>
      </c>
      <c r="H87" s="66" t="e">
        <f>H84-H85-H86</f>
        <v>#DIV/0!</v>
      </c>
      <c r="I87" s="1" t="e">
        <f t="shared" si="1"/>
        <v>#DIV/0!</v>
      </c>
      <c r="M87" s="11"/>
    </row>
    <row r="88" spans="1:13" x14ac:dyDescent="0.25">
      <c r="A88" s="148" t="str">
        <f>IF(Instructions!$B$1="CZ","Daně","Taxes")</f>
        <v>Taxes</v>
      </c>
      <c r="B88" s="331">
        <f>RawData!D186</f>
        <v>0</v>
      </c>
      <c r="C88" s="11"/>
      <c r="D88" s="11"/>
      <c r="E88" s="11"/>
      <c r="F88" s="11"/>
      <c r="M88" s="11"/>
    </row>
    <row r="89" spans="1:13" x14ac:dyDescent="0.25">
      <c r="A89" s="178" t="str">
        <f>IF(Instructions!$B$1="CZ","Zisk z provozní činnosti po zdanění","Normal operating result after tax")</f>
        <v>Normal operating result after tax</v>
      </c>
      <c r="B89" s="330">
        <f>RawData!D187</f>
        <v>0</v>
      </c>
      <c r="C89" s="215"/>
      <c r="D89" s="11"/>
      <c r="E89" s="11"/>
      <c r="F89" s="11"/>
      <c r="M89" s="11"/>
    </row>
    <row r="90" spans="1:13" x14ac:dyDescent="0.25">
      <c r="A90" s="148" t="str">
        <f>IF(Instructions!$B$1="CZ","Mimořádné příjmy","Extraordinary revenues")</f>
        <v>Extraordinary revenues</v>
      </c>
      <c r="B90" s="331">
        <f>RawData!D188</f>
        <v>0</v>
      </c>
      <c r="C90" s="215"/>
      <c r="D90" s="11"/>
      <c r="E90" s="11"/>
      <c r="F90" s="11"/>
      <c r="M90" s="11"/>
    </row>
    <row r="91" spans="1:13" ht="16.5" thickBot="1" x14ac:dyDescent="0.3">
      <c r="A91" s="150" t="str">
        <f>IF(Instructions!$B$1="CZ","Celkový čistý zisk","Net result")</f>
        <v>Net result</v>
      </c>
      <c r="B91" s="332">
        <f>RawData!D189</f>
        <v>0</v>
      </c>
      <c r="C91" s="11"/>
      <c r="D91" s="11"/>
      <c r="E91" s="11"/>
      <c r="F91" s="11"/>
      <c r="M91" s="11"/>
    </row>
    <row r="92" spans="1:13" x14ac:dyDescent="0.25">
      <c r="A92" s="11"/>
      <c r="B92" s="11"/>
      <c r="C92" s="11"/>
      <c r="D92" s="11"/>
      <c r="E92" s="11"/>
      <c r="F92" s="11"/>
      <c r="M92" s="11"/>
    </row>
    <row r="93" spans="1:13" x14ac:dyDescent="0.25">
      <c r="A93" s="11"/>
      <c r="B93" s="11"/>
      <c r="C93" s="11"/>
      <c r="D93" s="11"/>
      <c r="E93" s="11"/>
      <c r="F93" s="11"/>
      <c r="M93" s="11"/>
    </row>
    <row r="94" spans="1:13" x14ac:dyDescent="0.25">
      <c r="A94" s="11"/>
      <c r="B94" s="11"/>
      <c r="C94" s="11"/>
      <c r="D94" s="11"/>
      <c r="E94" s="11"/>
      <c r="F94" s="11"/>
      <c r="M94" s="11"/>
    </row>
    <row r="95" spans="1:13" x14ac:dyDescent="0.25">
      <c r="A95" s="11"/>
      <c r="B95" s="11"/>
      <c r="C95" s="11"/>
      <c r="D95" s="11"/>
      <c r="E95" s="11"/>
      <c r="F95" s="11"/>
      <c r="M95" s="11"/>
    </row>
    <row r="96" spans="1:13" x14ac:dyDescent="0.25">
      <c r="D96" s="11"/>
      <c r="E96" s="11"/>
      <c r="F96" s="11"/>
      <c r="M96" s="11"/>
    </row>
  </sheetData>
  <mergeCells count="12">
    <mergeCell ref="A56:E56"/>
    <mergeCell ref="G1:L1"/>
    <mergeCell ref="A71:B71"/>
    <mergeCell ref="A18:C18"/>
    <mergeCell ref="A26:E26"/>
    <mergeCell ref="A34:B34"/>
    <mergeCell ref="D6:E6"/>
    <mergeCell ref="D11:E11"/>
    <mergeCell ref="A1:E1"/>
    <mergeCell ref="A3:C3"/>
    <mergeCell ref="A11:C11"/>
    <mergeCell ref="A64:B64"/>
  </mergeCells>
  <pageMargins left="0.78740157499999996" right="0.78740157499999996" top="0.984251969" bottom="0.984251969" header="0.4921259845" footer="0.4921259845"/>
  <pageSetup paperSize="9" scale="77" orientation="portrait" r:id="rId1"/>
  <headerFooter alignWithMargins="0">
    <oddHeader>&amp;R5. KOLO</oddHeader>
    <oddFooter>Stránka &amp;P</oddFooter>
  </headerFooter>
  <rowBreaks count="1" manualBreakCount="1">
    <brk id="55" max="11" man="1"/>
  </rowBreaks>
  <colBreaks count="1" manualBreakCount="1">
    <brk id="5" max="9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2"/>
  <sheetViews>
    <sheetView workbookViewId="0">
      <selection activeCell="I15" sqref="I15"/>
    </sheetView>
  </sheetViews>
  <sheetFormatPr defaultColWidth="8.875" defaultRowHeight="15.75" x14ac:dyDescent="0.25"/>
  <cols>
    <col min="1" max="1" width="39.5" bestFit="1" customWidth="1"/>
    <col min="2" max="2" width="11.5" customWidth="1"/>
    <col min="3" max="3" width="12.625" bestFit="1" customWidth="1"/>
    <col min="5" max="5" width="9.125" bestFit="1" customWidth="1"/>
    <col min="6" max="6" width="12.125" bestFit="1" customWidth="1"/>
    <col min="7" max="7" width="15.875" bestFit="1" customWidth="1"/>
    <col min="9" max="9" width="38.625" customWidth="1"/>
    <col min="10" max="10" width="8.625" bestFit="1" customWidth="1"/>
    <col min="11" max="11" width="14.25" bestFit="1" customWidth="1"/>
    <col min="12" max="12" width="23.5" bestFit="1" customWidth="1"/>
  </cols>
  <sheetData>
    <row r="1" spans="1:12" ht="16.5" thickBot="1" x14ac:dyDescent="0.3">
      <c r="A1" s="8" t="str">
        <f>IF(Instructions!B1="CZ","JMÉNO FIRMY:","COMPANY:")</f>
        <v>COMPANY:</v>
      </c>
      <c r="B1" s="281" t="str">
        <f>Instructions!$B$5</f>
        <v>Firm</v>
      </c>
      <c r="I1" s="236" t="str">
        <f>IF(Instructions!$B$1="CZ","Pokud máte informace o budoucím vývoji cen surovin, vložte je sem.","If you have any information on the raw materials prices, enter it here.")</f>
        <v>If you have any information on the raw materials prices, enter it here.</v>
      </c>
    </row>
    <row r="2" spans="1:12" x14ac:dyDescent="0.25">
      <c r="A2" s="8" t="str">
        <f>IF(Instructions!B1="CZ","ČTVRTLETÍ:","QUARTER:")</f>
        <v>QUARTER:</v>
      </c>
      <c r="B2" s="281">
        <f>ActualResults!E3+1</f>
        <v>5</v>
      </c>
      <c r="I2" s="76" t="str">
        <f>IF(Instructions!$B$1="CZ","CENY SUROVIN [Kč za kg]","RAW MATERIALS PRICES [CZK per kg]")</f>
        <v>RAW MATERIALS PRICES [CZK per kg]</v>
      </c>
      <c r="J2" s="77" t="str">
        <f>IF(Instructions!$B$1="CZ","DŘEVO","WOOD")</f>
        <v>WOOD</v>
      </c>
      <c r="K2" s="78" t="str">
        <f>IF(Instructions!$B$1="CZ","KOV","METAL")</f>
        <v>METAL</v>
      </c>
    </row>
    <row r="3" spans="1:12" x14ac:dyDescent="0.25">
      <c r="I3" s="22">
        <v>5</v>
      </c>
      <c r="J3" s="75">
        <v>24</v>
      </c>
      <c r="K3" s="67">
        <v>15</v>
      </c>
    </row>
    <row r="4" spans="1:12" x14ac:dyDescent="0.25">
      <c r="A4" s="281" t="str">
        <f>IF(Instructions!B1="CZ","PRŮZKUM TRHU","MARKET RESEARCH")</f>
        <v>MARKET RESEARCH</v>
      </c>
      <c r="B4" s="314"/>
      <c r="C4" s="314"/>
      <c r="I4" s="22">
        <v>6</v>
      </c>
      <c r="J4" s="75">
        <v>24</v>
      </c>
      <c r="K4" s="67">
        <v>15</v>
      </c>
    </row>
    <row r="5" spans="1:12" x14ac:dyDescent="0.25">
      <c r="A5" s="8" t="str">
        <f>IF(Instructions!B1="CZ","Tržní potenciály","Market potentials")</f>
        <v>Market potentials</v>
      </c>
      <c r="B5" s="8" t="str">
        <f>IF(Instructions!$B$1="CZ","STOLY","DESKS")</f>
        <v>DESKS</v>
      </c>
      <c r="C5" s="8" t="str">
        <f>IF(Instructions!$B$1="CZ","SKŘÍŇKY","CABINETS")</f>
        <v>CABINETS</v>
      </c>
      <c r="I5" s="22">
        <v>7</v>
      </c>
      <c r="J5" s="75">
        <v>24</v>
      </c>
      <c r="K5" s="67">
        <v>15</v>
      </c>
    </row>
    <row r="6" spans="1:12" x14ac:dyDescent="0.25">
      <c r="A6" s="8" t="str">
        <f>IF(Instructions!$B$1="CZ","Počet aktuálních požadavků na průzkum","Number of requests")</f>
        <v>Number of requests</v>
      </c>
      <c r="B6">
        <v>0</v>
      </c>
      <c r="C6">
        <v>0</v>
      </c>
      <c r="I6" s="22">
        <v>8</v>
      </c>
      <c r="J6" s="75">
        <v>24</v>
      </c>
      <c r="K6" s="67">
        <v>15</v>
      </c>
    </row>
    <row r="7" spans="1:12" s="11" customFormat="1" x14ac:dyDescent="0.25">
      <c r="A7"/>
      <c r="B7"/>
      <c r="C7"/>
      <c r="D7"/>
      <c r="E7"/>
      <c r="F7"/>
      <c r="G7"/>
      <c r="I7" s="22">
        <v>9</v>
      </c>
      <c r="J7" s="75">
        <v>24</v>
      </c>
      <c r="K7" s="67">
        <v>15</v>
      </c>
      <c r="L7"/>
    </row>
    <row r="8" spans="1:12" x14ac:dyDescent="0.25">
      <c r="A8" s="281" t="str">
        <f>IF(Instructions!B1="CZ","CENY SUROVIN","RAW MATERIALS PRICES")</f>
        <v>RAW MATERIALS PRICES</v>
      </c>
      <c r="B8" s="314"/>
      <c r="I8" s="22">
        <v>10</v>
      </c>
      <c r="J8" s="75">
        <v>24</v>
      </c>
      <c r="K8" s="67">
        <v>15</v>
      </c>
      <c r="L8" s="11"/>
    </row>
    <row r="9" spans="1:12" x14ac:dyDescent="0.25">
      <c r="A9" s="8" t="str">
        <f>IF(Instructions!$B$1="CZ","Počet aktuálních požadavků na průzkum","Number of requests")</f>
        <v>Number of requests</v>
      </c>
      <c r="B9">
        <v>0</v>
      </c>
      <c r="I9" s="22">
        <v>11</v>
      </c>
      <c r="J9" s="75">
        <v>24</v>
      </c>
      <c r="K9" s="67">
        <v>15</v>
      </c>
    </row>
    <row r="10" spans="1:12" ht="16.5" thickBot="1" x14ac:dyDescent="0.3">
      <c r="I10" s="26">
        <v>12</v>
      </c>
      <c r="J10" s="79">
        <v>24</v>
      </c>
      <c r="K10" s="68">
        <v>15</v>
      </c>
    </row>
    <row r="11" spans="1:12" s="11" customFormat="1" x14ac:dyDescent="0.25">
      <c r="A11" s="281" t="str">
        <f>IF(Instructions!B1="CZ","Konkurenti","COMPETITORS")</f>
        <v>COMPETITORS</v>
      </c>
      <c r="B11" s="314"/>
      <c r="C11"/>
      <c r="D11"/>
      <c r="E11"/>
      <c r="F11"/>
      <c r="G11"/>
      <c r="I11"/>
      <c r="J11"/>
      <c r="K11"/>
      <c r="L11"/>
    </row>
    <row r="12" spans="1:12" x14ac:dyDescent="0.25">
      <c r="A12" s="8" t="str">
        <f>IF(Instructions!B1="CZ","Ceny konkurence (ano = 1, ne = 0)","Prices of competitors")</f>
        <v>Prices of competitors</v>
      </c>
      <c r="B12">
        <v>0</v>
      </c>
      <c r="I12" s="236" t="str">
        <f>IF(Instructions!$B$1="CZ","Pokud máte informace o budoucím vývoji tržních potenciálů, můžete si je vložit např. sem.","If you have information on the future market potentials, you can work with it e.g. here.")</f>
        <v>If you have information on the future market potentials, you can work with it e.g. here.</v>
      </c>
    </row>
    <row r="13" spans="1:12" x14ac:dyDescent="0.25">
      <c r="A13" s="8" t="str">
        <f>IF(Instructions!B1="CZ","Prodaná množství konkurence (ano = 1, ne = 0)","Sales of competitors")</f>
        <v>Sales of competitors</v>
      </c>
      <c r="B13">
        <v>0</v>
      </c>
      <c r="I13" t="str">
        <f>IF(Instructions!$B$1="CZ","STOLY","DESKS")</f>
        <v>DESKS</v>
      </c>
    </row>
    <row r="14" spans="1:12" x14ac:dyDescent="0.25">
      <c r="I14" t="str">
        <f>IF(Instructions!$B$1="CZ","Čtvrtletí","Quarter")</f>
        <v>Quarter</v>
      </c>
      <c r="J14" t="str">
        <f>IF(Instructions!$B$1="CZ","Cena","Price")</f>
        <v>Price</v>
      </c>
      <c r="K14" t="str">
        <f>IF(Instructions!$B$1="CZ","Tržní potenciál","Market potential")</f>
        <v>Market potential</v>
      </c>
      <c r="L14" t="str">
        <f>IF(Instructions!$B$1="CZ","Tržní potenciál jedné firmy","Single firm Market potential")</f>
        <v>Single firm Market potential</v>
      </c>
    </row>
    <row r="15" spans="1:12" x14ac:dyDescent="0.25">
      <c r="A15" s="281" t="str">
        <f>IF(Instructions!B1="CZ","PRODEJ","SALES")</f>
        <v>SALES</v>
      </c>
      <c r="B15" s="8" t="str">
        <f>IF(Instructions!$B$1="CZ","STOLY","DESKS")</f>
        <v>DESKS</v>
      </c>
      <c r="C15" s="8" t="str">
        <f>IF(Instructions!$B$1="CZ","SKŘÍŇKY","CABINETS")</f>
        <v>CABINETS</v>
      </c>
      <c r="J15" s="1"/>
      <c r="K15" s="1"/>
      <c r="L15">
        <f>K15/5</f>
        <v>0</v>
      </c>
    </row>
    <row r="16" spans="1:12" x14ac:dyDescent="0.25">
      <c r="A16" s="8" t="str">
        <f>IF(Instructions!B1="CZ","Prodejní cena:","Sales price")</f>
        <v>Sales price</v>
      </c>
      <c r="J16" s="1"/>
      <c r="K16" s="1"/>
      <c r="L16">
        <f t="shared" ref="L16:L31" si="0">K16/5</f>
        <v>0</v>
      </c>
    </row>
    <row r="17" spans="1:12" x14ac:dyDescent="0.25">
      <c r="A17" s="8" t="str">
        <f>IF(Instructions!B1="CZ","Maximální množství k prodeji","Maximum sales amount")</f>
        <v>Maximum sales amount</v>
      </c>
      <c r="B17" s="10">
        <f>ActualResults!B16</f>
        <v>0</v>
      </c>
      <c r="C17" s="10">
        <f>ActualResults!C16</f>
        <v>0</v>
      </c>
      <c r="J17" s="1"/>
      <c r="K17" s="1"/>
      <c r="L17">
        <f t="shared" si="0"/>
        <v>0</v>
      </c>
    </row>
    <row r="18" spans="1:12" x14ac:dyDescent="0.25">
      <c r="A18" s="8" t="str">
        <f>IF(Instructions!B1="CZ","Skutečné množství k prodeji","Decided sales amount")</f>
        <v>Decided sales amount</v>
      </c>
      <c r="B18" s="1"/>
      <c r="C18" s="1"/>
      <c r="J18" s="1"/>
      <c r="K18" s="1"/>
      <c r="L18">
        <f t="shared" si="0"/>
        <v>0</v>
      </c>
    </row>
    <row r="19" spans="1:12" x14ac:dyDescent="0.25">
      <c r="J19" s="1"/>
      <c r="K19" s="1"/>
      <c r="L19">
        <f t="shared" si="0"/>
        <v>0</v>
      </c>
    </row>
    <row r="20" spans="1:12" x14ac:dyDescent="0.25">
      <c r="A20" s="281" t="str">
        <f>IF(Instructions!B1="CZ","VÝROBA","PRODUCTION")</f>
        <v>PRODUCTION</v>
      </c>
      <c r="B20" s="314"/>
      <c r="C20" s="314"/>
      <c r="E20" s="383" t="str">
        <f>IF(Instructions!B1="CZ","Vyrobená množství","Produced amounts")</f>
        <v>Produced amounts</v>
      </c>
      <c r="F20" s="383"/>
      <c r="G20" s="8" t="str">
        <f>IF(Instructions!B1="CZ","Potřeba pracovníků","Need of workers")</f>
        <v>Need of workers</v>
      </c>
      <c r="J20" s="1"/>
      <c r="K20" s="1"/>
      <c r="L20">
        <f t="shared" si="0"/>
        <v>0</v>
      </c>
    </row>
    <row r="21" spans="1:12" x14ac:dyDescent="0.25">
      <c r="A21" s="8" t="str">
        <f>IF(Instructions!B1="CZ","Výroba na jednotlivých strojích","Production schedule of particular machines")</f>
        <v>Production schedule of particular machines</v>
      </c>
      <c r="B21" s="8" t="str">
        <f>IF(Instructions!$B$1="CZ","STOLY","DESKS")</f>
        <v>DESKS</v>
      </c>
      <c r="C21" s="8" t="str">
        <f>IF(Instructions!$B$1="CZ","SKŘÍŇKY","CABINETS")</f>
        <v>CABINETS</v>
      </c>
      <c r="E21" s="8" t="str">
        <f>IF(Instructions!$B$1="CZ","STOLY","DESKS")</f>
        <v>DESKS</v>
      </c>
      <c r="F21" s="8" t="str">
        <f>IF(Instructions!$B$1="CZ","SKŘÍŇKY","CABINETS")</f>
        <v>CABINETS</v>
      </c>
      <c r="G21" s="8"/>
      <c r="L21">
        <f t="shared" si="0"/>
        <v>0</v>
      </c>
    </row>
    <row r="22" spans="1:12" x14ac:dyDescent="0.25">
      <c r="A22" s="8" t="str">
        <f>IF((ActualResults!B58-ActualResults!B39*2+ActualResults!B41)/600000&gt;=1,"# 1","")</f>
        <v/>
      </c>
      <c r="B22">
        <v>0</v>
      </c>
      <c r="C22">
        <v>0</v>
      </c>
      <c r="D22" s="2" t="str">
        <f>IF(B22+C22&gt;1500,"!!!","O.K.")</f>
        <v>O.K.</v>
      </c>
      <c r="E22" s="8">
        <f>INT(B22/1500)*1500+VLOOKUP(MOD(B22,1500),Data!$A$22:$D$28,2,TRUE)</f>
        <v>0</v>
      </c>
      <c r="F22" s="8">
        <f>INT(C22/1500)*400+VLOOKUP(MOD(C22,1500),Data!$A$22:$D$28,4,TRUE)</f>
        <v>0</v>
      </c>
      <c r="G22" s="9">
        <f>INT(B22/1500)*6+INT(C22/1500)*12+VLOOKUP(MOD(B22,1500),Data!$A$22:$D$28,3,TRUE)+VLOOKUP(MOD(C22,1500),Data!$A$22:$E$28,5,TRUE)</f>
        <v>0</v>
      </c>
      <c r="L22">
        <f t="shared" si="0"/>
        <v>0</v>
      </c>
    </row>
    <row r="23" spans="1:12" x14ac:dyDescent="0.25">
      <c r="A23" s="8" t="str">
        <f>IF((ActualResults!B58-ActualResults!B39*2+ActualResults!B41)/600000&gt;=2,"# 2","")</f>
        <v/>
      </c>
      <c r="B23">
        <v>0</v>
      </c>
      <c r="C23">
        <v>0</v>
      </c>
      <c r="D23" s="2" t="str">
        <f t="shared" ref="D23:D31" si="1">IF(B23+C23&gt;1500,"!!!","O.K.")</f>
        <v>O.K.</v>
      </c>
      <c r="E23" s="8">
        <f>INT(B23/1500)*1500+VLOOKUP(MOD(B23,1500),Data!$A$22:$D$28,2,TRUE)</f>
        <v>0</v>
      </c>
      <c r="F23" s="8">
        <f>INT(C23/1500)*400+VLOOKUP(MOD(C23,1500),Data!$A$22:$D$28,4,TRUE)</f>
        <v>0</v>
      </c>
      <c r="G23" s="9">
        <f>INT(B23/1500)*6+INT(C23/1500)*12+VLOOKUP(MOD(B23,1500),Data!$A$22:$D$28,3,TRUE)+VLOOKUP(MOD(C23,1500),Data!$A$22:$E$28,5,TRUE)</f>
        <v>0</v>
      </c>
      <c r="L23">
        <f t="shared" si="0"/>
        <v>0</v>
      </c>
    </row>
    <row r="24" spans="1:12" x14ac:dyDescent="0.25">
      <c r="A24" s="8" t="str">
        <f>IF((ActualResults!B58-ActualResults!B39*2+ActualResults!B41)/600000&gt;=3,"# 3","")</f>
        <v/>
      </c>
      <c r="B24">
        <v>0</v>
      </c>
      <c r="C24">
        <v>0</v>
      </c>
      <c r="D24" s="2" t="str">
        <f t="shared" si="1"/>
        <v>O.K.</v>
      </c>
      <c r="E24" s="8">
        <f>INT(B24/1500)*1500+VLOOKUP(MOD(B24,1500),Data!$A$22:$D$28,2,TRUE)</f>
        <v>0</v>
      </c>
      <c r="F24" s="8">
        <f>INT(C24/1500)*400+VLOOKUP(MOD(C24,1500),Data!$A$22:$D$28,4,TRUE)</f>
        <v>0</v>
      </c>
      <c r="G24" s="9">
        <f>INT(B24/1500)*6+INT(C24/1500)*12+VLOOKUP(MOD(B24,1500),Data!$A$22:$D$28,3,TRUE)+VLOOKUP(MOD(C24,1500),Data!$A$22:$E$28,5,TRUE)</f>
        <v>0</v>
      </c>
      <c r="L24">
        <f t="shared" si="0"/>
        <v>0</v>
      </c>
    </row>
    <row r="25" spans="1:12" x14ac:dyDescent="0.25">
      <c r="A25" s="8" t="str">
        <f>IF((ActualResults!B58-ActualResults!B39*2+ActualResults!B41)/600000&gt;=4,"# 4","")</f>
        <v/>
      </c>
      <c r="B25">
        <v>0</v>
      </c>
      <c r="C25">
        <v>0</v>
      </c>
      <c r="D25" s="2" t="str">
        <f t="shared" si="1"/>
        <v>O.K.</v>
      </c>
      <c r="E25" s="8">
        <f>INT(B25/1500)*1500+VLOOKUP(MOD(B25,1500),Data!$A$22:$D$28,2,TRUE)</f>
        <v>0</v>
      </c>
      <c r="F25" s="8">
        <f>INT(C25/1500)*400+VLOOKUP(MOD(C25,1500),Data!$A$22:$D$28,4,TRUE)</f>
        <v>0</v>
      </c>
      <c r="G25" s="9">
        <f>INT(B25/1500)*6+INT(C25/1500)*12+VLOOKUP(MOD(B25,1500),Data!$A$22:$D$28,3,TRUE)+VLOOKUP(MOD(C25,1500),Data!$A$22:$E$28,5,TRUE)</f>
        <v>0</v>
      </c>
      <c r="L25">
        <f t="shared" si="0"/>
        <v>0</v>
      </c>
    </row>
    <row r="26" spans="1:12" x14ac:dyDescent="0.25">
      <c r="A26" s="8" t="str">
        <f>IF((ActualResults!B58-ActualResults!B39*2+ActualResults!B41)/600000&gt;=5,"# 5","")</f>
        <v/>
      </c>
      <c r="B26">
        <v>0</v>
      </c>
      <c r="C26">
        <v>0</v>
      </c>
      <c r="D26" s="2" t="str">
        <f t="shared" si="1"/>
        <v>O.K.</v>
      </c>
      <c r="E26" s="8">
        <f>INT(B26/1500)*1500+VLOOKUP(MOD(B26,1500),Data!$A$22:$D$28,2,TRUE)</f>
        <v>0</v>
      </c>
      <c r="F26" s="8">
        <f>INT(C26/1500)*400+VLOOKUP(MOD(C26,1500),Data!$A$22:$D$28,4,TRUE)</f>
        <v>0</v>
      </c>
      <c r="G26" s="9">
        <f>INT(B26/1500)*6+INT(C26/1500)*12+VLOOKUP(MOD(B26,1500),Data!$A$22:$D$28,3,TRUE)+VLOOKUP(MOD(C26,1500),Data!$A$22:$E$28,5,TRUE)</f>
        <v>0</v>
      </c>
      <c r="L26">
        <f t="shared" si="0"/>
        <v>0</v>
      </c>
    </row>
    <row r="27" spans="1:12" x14ac:dyDescent="0.25">
      <c r="A27" s="8" t="str">
        <f>IF((ActualResults!B58-ActualResults!B39*2+ActualResults!B41)/600000&gt;=6,"# 6","")</f>
        <v/>
      </c>
      <c r="B27">
        <v>0</v>
      </c>
      <c r="C27">
        <v>0</v>
      </c>
      <c r="D27" s="2" t="str">
        <f t="shared" si="1"/>
        <v>O.K.</v>
      </c>
      <c r="E27" s="8">
        <f>INT(B27/1500)*1500+VLOOKUP(MOD(B27,1500),Data!$A$22:$D$28,2,TRUE)</f>
        <v>0</v>
      </c>
      <c r="F27" s="8">
        <f>INT(C27/1500)*400+VLOOKUP(MOD(C27,1500),Data!$A$22:$D$28,4,TRUE)</f>
        <v>0</v>
      </c>
      <c r="G27" s="9">
        <f>INT(B27/1500)*6+INT(C27/1500)*12+VLOOKUP(MOD(B27,1500),Data!$A$22:$D$28,3,TRUE)+VLOOKUP(MOD(C27,1500),Data!$A$22:$E$28,5,TRUE)</f>
        <v>0</v>
      </c>
      <c r="L27">
        <f t="shared" si="0"/>
        <v>0</v>
      </c>
    </row>
    <row r="28" spans="1:12" x14ac:dyDescent="0.25">
      <c r="A28" s="8" t="str">
        <f>IF((ActualResults!B58-ActualResults!B39*2+ActualResults!B41)/600000&gt;=7,"# 7","")</f>
        <v/>
      </c>
      <c r="B28">
        <v>0</v>
      </c>
      <c r="C28">
        <v>0</v>
      </c>
      <c r="D28" s="2" t="str">
        <f t="shared" si="1"/>
        <v>O.K.</v>
      </c>
      <c r="E28" s="8">
        <f>INT(B28/1500)*1500+VLOOKUP(MOD(B28,1500),Data!$A$22:$D$28,2,TRUE)</f>
        <v>0</v>
      </c>
      <c r="F28" s="8">
        <f>INT(C28/1500)*400+VLOOKUP(MOD(C28,1500),Data!$A$22:$D$28,4,TRUE)</f>
        <v>0</v>
      </c>
      <c r="G28" s="9">
        <f>INT(B28/1500)*6+INT(C28/1500)*12+VLOOKUP(MOD(B28,1500),Data!$A$22:$D$28,3,TRUE)+VLOOKUP(MOD(C28,1500),Data!$A$22:$E$28,5,TRUE)</f>
        <v>0</v>
      </c>
      <c r="L28">
        <f t="shared" si="0"/>
        <v>0</v>
      </c>
    </row>
    <row r="29" spans="1:12" x14ac:dyDescent="0.25">
      <c r="A29" s="8" t="str">
        <f>IF((ActualResults!B58-ActualResults!B39*2+ActualResults!B41)/600000&gt;=8,"# 8","")</f>
        <v/>
      </c>
      <c r="B29">
        <v>0</v>
      </c>
      <c r="C29">
        <v>0</v>
      </c>
      <c r="D29" s="2" t="str">
        <f t="shared" si="1"/>
        <v>O.K.</v>
      </c>
      <c r="E29" s="8">
        <f>INT(B29/1500)*1500+VLOOKUP(MOD(B29,1500),Data!$A$22:$D$28,2,TRUE)</f>
        <v>0</v>
      </c>
      <c r="F29" s="8">
        <f>INT(C29/1500)*400+VLOOKUP(MOD(C29,1500),Data!$A$22:$D$28,4,TRUE)</f>
        <v>0</v>
      </c>
      <c r="G29" s="9">
        <f>INT(B29/1500)*6+INT(C29/1500)*12+VLOOKUP(MOD(B29,1500),Data!$A$22:$D$28,3,TRUE)+VLOOKUP(MOD(C29,1500),Data!$A$22:$E$28,5,TRUE)</f>
        <v>0</v>
      </c>
      <c r="L29">
        <f t="shared" si="0"/>
        <v>0</v>
      </c>
    </row>
    <row r="30" spans="1:12" x14ac:dyDescent="0.25">
      <c r="A30" s="8" t="str">
        <f>IF((ActualResults!B58-ActualResults!B39*2+ActualResults!B41)/600000&gt;=9,"# 9","")</f>
        <v/>
      </c>
      <c r="B30">
        <v>0</v>
      </c>
      <c r="C30">
        <v>0</v>
      </c>
      <c r="D30" s="2" t="str">
        <f t="shared" si="1"/>
        <v>O.K.</v>
      </c>
      <c r="E30" s="8">
        <f>INT(B30/1500)*1500+VLOOKUP(MOD(B30,1500),Data!$A$22:$D$28,2,TRUE)</f>
        <v>0</v>
      </c>
      <c r="F30" s="8">
        <f>INT(C30/1500)*400+VLOOKUP(MOD(C30,1500),Data!$A$22:$D$28,4,TRUE)</f>
        <v>0</v>
      </c>
      <c r="G30" s="9">
        <f>INT(B30/1500)*6+INT(C30/1500)*12+VLOOKUP(MOD(B30,1500),Data!$A$22:$D$28,3,TRUE)+VLOOKUP(MOD(C30,1500),Data!$A$22:$E$28,5,TRUE)</f>
        <v>0</v>
      </c>
      <c r="L30">
        <f t="shared" si="0"/>
        <v>0</v>
      </c>
    </row>
    <row r="31" spans="1:12" x14ac:dyDescent="0.25">
      <c r="A31" s="8" t="str">
        <f>IF((ActualResults!B58-ActualResults!B39*2+ActualResults!B41)/600000&gt;=10,"# 10","")</f>
        <v/>
      </c>
      <c r="B31">
        <v>0</v>
      </c>
      <c r="C31">
        <v>0</v>
      </c>
      <c r="D31" s="2" t="str">
        <f t="shared" si="1"/>
        <v>O.K.</v>
      </c>
      <c r="E31" s="8">
        <f>INT(B31/1500)*1500+VLOOKUP(MOD(B31,1500),Data!$A$22:$D$28,2,TRUE)</f>
        <v>0</v>
      </c>
      <c r="F31" s="8">
        <f>INT(C31/1500)*400+VLOOKUP(MOD(C31,1500),Data!$A$22:$D$28,4,TRUE)</f>
        <v>0</v>
      </c>
      <c r="G31" s="9">
        <f>INT(B31/1500)*6+INT(C31/1500)*12+VLOOKUP(MOD(B31,1500),Data!$A$22:$D$28,3,TRUE)+VLOOKUP(MOD(C31,1500),Data!$A$22:$E$28,5,TRUE)</f>
        <v>0</v>
      </c>
      <c r="L31">
        <f t="shared" si="0"/>
        <v>0</v>
      </c>
    </row>
    <row r="32" spans="1:12" x14ac:dyDescent="0.25">
      <c r="A32" s="8" t="str">
        <f>IF(Instructions!B1="CZ","CELKEM","TOTAL")</f>
        <v>TOTAL</v>
      </c>
      <c r="B32" s="8">
        <f>SUM(B22:B31)</f>
        <v>0</v>
      </c>
      <c r="C32" s="8">
        <f>SUM(C22:C31)</f>
        <v>0</v>
      </c>
      <c r="D32" s="2" t="str">
        <f>IF(C32+B32&gt;1500*ActualResults!B58/600000,"!!!","O.K.")</f>
        <v>O.K.</v>
      </c>
      <c r="E32" s="8">
        <f>SUM(E22:E31)</f>
        <v>0</v>
      </c>
      <c r="F32" s="8">
        <f>SUM(F22:F31)</f>
        <v>0</v>
      </c>
      <c r="G32" s="8">
        <f>SUM(G22:G31)</f>
        <v>0</v>
      </c>
    </row>
    <row r="33" spans="1:12" x14ac:dyDescent="0.25">
      <c r="I33" t="str">
        <f>IF(Instructions!$B$1="CZ","SKŘÍŇKY","CABINETS")</f>
        <v>CABINETS</v>
      </c>
    </row>
    <row r="34" spans="1:12" x14ac:dyDescent="0.25">
      <c r="A34" s="281" t="str">
        <f>IF(Instructions!B1="CZ","Změna výrobní kapacity","Change of production capacity")</f>
        <v>Change of production capacity</v>
      </c>
      <c r="B34" s="314"/>
      <c r="I34" t="str">
        <f>IF(Instructions!$B$1="CZ","Čtvrtletí","Quarter")</f>
        <v>Quarter</v>
      </c>
      <c r="J34" t="str">
        <f>IF(Instructions!$B$1="CZ","Cena","Price")</f>
        <v>Price</v>
      </c>
      <c r="K34" t="str">
        <f>IF(Instructions!$B$1="CZ","Tržní potenciál","Market potential")</f>
        <v>Market potential</v>
      </c>
      <c r="L34" t="str">
        <f>IF(Instructions!$B$1="CZ","Tržní potenciál jedné firmy","Single firm Market potential")</f>
        <v>Single firm Market potential</v>
      </c>
    </row>
    <row r="35" spans="1:12" x14ac:dyDescent="0.25">
      <c r="A35" s="8" t="str">
        <f>IF(Instructions!B1="CZ","Počet nakupovaných strojů:","Machines bought:")</f>
        <v>Machines bought:</v>
      </c>
      <c r="B35">
        <v>0</v>
      </c>
      <c r="J35" s="1"/>
      <c r="K35" s="1"/>
      <c r="L35">
        <f>K35/5</f>
        <v>0</v>
      </c>
    </row>
    <row r="36" spans="1:12" x14ac:dyDescent="0.25">
      <c r="A36" s="8" t="str">
        <f>IF(Instructions!B1="CZ","Počet prodávaných strojů:","Machines sold:")</f>
        <v>Machines sold:</v>
      </c>
      <c r="B36">
        <v>0</v>
      </c>
      <c r="J36" s="1"/>
      <c r="K36" s="1"/>
      <c r="L36">
        <f t="shared" ref="L36:L51" si="2">K36/5</f>
        <v>0</v>
      </c>
    </row>
    <row r="37" spans="1:12" x14ac:dyDescent="0.25">
      <c r="J37" s="1"/>
      <c r="K37" s="1"/>
      <c r="L37">
        <f t="shared" si="2"/>
        <v>0</v>
      </c>
    </row>
    <row r="38" spans="1:12" x14ac:dyDescent="0.25">
      <c r="J38" s="1"/>
      <c r="K38" s="1"/>
      <c r="L38">
        <f t="shared" si="2"/>
        <v>0</v>
      </c>
    </row>
    <row r="39" spans="1:12" x14ac:dyDescent="0.25">
      <c r="A39" s="281" t="str">
        <f>IF(Instructions!B1="CZ","ZÁSOBOVÁNÍ","PURCHASING")</f>
        <v>PURCHASING</v>
      </c>
      <c r="B39" s="8" t="str">
        <f>IF(Instructions!B1="CZ","DŘEVO","WOOD")</f>
        <v>WOOD</v>
      </c>
      <c r="C39" s="8" t="str">
        <f>IF(Instructions!B1="CZ","KOV","METAL")</f>
        <v>METAL</v>
      </c>
      <c r="J39" s="1"/>
      <c r="K39" s="1"/>
      <c r="L39">
        <f t="shared" si="2"/>
        <v>0</v>
      </c>
    </row>
    <row r="40" spans="1:12" x14ac:dyDescent="0.25">
      <c r="A40" s="8" t="str">
        <f>IF(Instructions!B1="CZ","Minimální nákup","Minimum to be ordered")</f>
        <v>Minimum to be ordered</v>
      </c>
      <c r="B40" s="8">
        <f>E32*Data!F15+Data!G15*F32-ActualResults!B24</f>
        <v>0</v>
      </c>
      <c r="C40" s="8">
        <f>E32*Data!F16+Data!G16*F32-ActualResults!C24</f>
        <v>0</v>
      </c>
      <c r="J40" s="1"/>
      <c r="K40" s="1"/>
      <c r="L40">
        <f t="shared" si="2"/>
        <v>0</v>
      </c>
    </row>
    <row r="41" spans="1:12" x14ac:dyDescent="0.25">
      <c r="A41" s="8" t="str">
        <f>IF(Instructions!B1="CZ","Skutečný nákup","Decided purchase")</f>
        <v>Decided purchase</v>
      </c>
      <c r="B41" s="1">
        <f>IF(B40&gt;0,B40,0)</f>
        <v>0</v>
      </c>
      <c r="C41" s="1">
        <f>IF(C40&gt;0,C40,0)</f>
        <v>0</v>
      </c>
      <c r="J41" s="1"/>
      <c r="K41" s="1"/>
      <c r="L41">
        <f t="shared" si="2"/>
        <v>0</v>
      </c>
    </row>
    <row r="42" spans="1:12" x14ac:dyDescent="0.25">
      <c r="L42">
        <f t="shared" si="2"/>
        <v>0</v>
      </c>
    </row>
    <row r="43" spans="1:12" x14ac:dyDescent="0.25">
      <c r="A43" s="281" t="str">
        <f>IF(Instructions!B1="CZ","LIDSKÉ ZDROJE","HUMAN RESOURCES")</f>
        <v>HUMAN RESOURCES</v>
      </c>
      <c r="B43" s="314"/>
      <c r="L43">
        <f t="shared" si="2"/>
        <v>0</v>
      </c>
    </row>
    <row r="44" spans="1:12" x14ac:dyDescent="0.25">
      <c r="A44" s="8" t="str">
        <f>IF(Instructions!B1="CZ","Mzdový index","Wage index")</f>
        <v>Wage index</v>
      </c>
      <c r="B44">
        <v>100</v>
      </c>
      <c r="L44">
        <f t="shared" si="2"/>
        <v>0</v>
      </c>
    </row>
    <row r="45" spans="1:12" x14ac:dyDescent="0.25">
      <c r="A45" s="8" t="str">
        <f>IF(Instructions!B1="CZ","Vzdělávání","Training")</f>
        <v>Training</v>
      </c>
      <c r="B45">
        <v>0</v>
      </c>
      <c r="L45">
        <f t="shared" si="2"/>
        <v>0</v>
      </c>
    </row>
    <row r="46" spans="1:12" x14ac:dyDescent="0.25">
      <c r="A46" s="8" t="str">
        <f>IF(Instructions!B1="CZ","Počet nabíraných pracovníků:","Number of recruited workers:")</f>
        <v>Number of recruited workers:</v>
      </c>
      <c r="B46">
        <v>0</v>
      </c>
      <c r="L46">
        <f t="shared" si="2"/>
        <v>0</v>
      </c>
    </row>
    <row r="47" spans="1:12" x14ac:dyDescent="0.25">
      <c r="A47" s="8" t="str">
        <f>IF(Instructions!B1="CZ","Počet propouštěných pracovníků:","Number of laid-off workers")</f>
        <v>Number of laid-off workers</v>
      </c>
      <c r="B47">
        <v>0</v>
      </c>
      <c r="L47">
        <f t="shared" si="2"/>
        <v>0</v>
      </c>
    </row>
    <row r="48" spans="1:12" x14ac:dyDescent="0.25">
      <c r="L48">
        <f t="shared" si="2"/>
        <v>0</v>
      </c>
    </row>
    <row r="49" spans="1:12" x14ac:dyDescent="0.25">
      <c r="A49" s="281" t="s">
        <v>8</v>
      </c>
      <c r="B49" s="314"/>
      <c r="L49">
        <f t="shared" si="2"/>
        <v>0</v>
      </c>
    </row>
    <row r="50" spans="1:12" x14ac:dyDescent="0.25">
      <c r="A50" s="8" t="str">
        <f>IF(Instructions!B1="CZ","Požadovaný úvěr:","Requested credit")</f>
        <v>Requested credit</v>
      </c>
      <c r="B50">
        <v>0</v>
      </c>
      <c r="L50">
        <f t="shared" si="2"/>
        <v>0</v>
      </c>
    </row>
    <row r="51" spans="1:12" x14ac:dyDescent="0.25">
      <c r="A51" s="8" t="str">
        <f>IF(Instructions!B1="CZ","Splátka úvěru:","Credit repayment")</f>
        <v>Credit repayment</v>
      </c>
      <c r="B51">
        <v>0</v>
      </c>
      <c r="L51">
        <f t="shared" si="2"/>
        <v>0</v>
      </c>
    </row>
    <row r="52" spans="1:12" ht="63.75" customHeight="1" x14ac:dyDescent="0.25">
      <c r="B52" s="384" t="str">
        <f>IF(Instructions!B1="CZ","POZOR, automatické splátky zde nefungují, takže zadejte nejen příp. mimořádnou splátku, ale také příp. 'automatickou' splátku 1/20 částky úvěru přidělené před čtyřmi čtvrtletími.","WARNING: Automatic repayments do not work here, therefore you should not only input your possible exceptional repayments, but also the 'automatic' repayments, i.e. the amount of one twentieth of the credit received four quarters ago...")</f>
        <v>WARNING: Automatic repayments do not work here, therefore you should not only input your possible exceptional repayments, but also the 'automatic' repayments, i.e. the amount of one twentieth of the credit received four quarters ago...</v>
      </c>
      <c r="C52" s="384"/>
      <c r="D52" s="384"/>
      <c r="E52" s="384"/>
    </row>
  </sheetData>
  <mergeCells count="2">
    <mergeCell ref="E20:F20"/>
    <mergeCell ref="B52:E52"/>
  </mergeCells>
  <dataValidations count="1">
    <dataValidation type="list" allowBlank="1" showInputMessage="1" showErrorMessage="1" sqref="B22:C31" xr:uid="{00000000-0002-0000-0200-000000000000}">
      <formula1>Výroba</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2"/>
  <sheetViews>
    <sheetView zoomScale="108" zoomScaleNormal="115" workbookViewId="0">
      <selection activeCell="B7" sqref="B7"/>
    </sheetView>
  </sheetViews>
  <sheetFormatPr defaultColWidth="8.875" defaultRowHeight="15.75" x14ac:dyDescent="0.25"/>
  <cols>
    <col min="1" max="1" width="34.625" bestFit="1" customWidth="1"/>
    <col min="2" max="2" width="16.375" customWidth="1"/>
    <col min="3" max="3" width="12.625" bestFit="1" customWidth="1"/>
    <col min="4" max="4" width="30.125" customWidth="1"/>
    <col min="5" max="5" width="17.625" bestFit="1" customWidth="1"/>
    <col min="6" max="6" width="13.125" bestFit="1" customWidth="1"/>
    <col min="7" max="7" width="38.125" bestFit="1" customWidth="1"/>
    <col min="8" max="12" width="12.625" customWidth="1"/>
  </cols>
  <sheetData>
    <row r="1" spans="1:13" ht="18.75" x14ac:dyDescent="0.3">
      <c r="A1" s="385" t="str">
        <f>IF(Instructions!$B$1="CZ",CONCATENATE("FINANČNÍ VÝSLEDKY FIRMY ",Instructions!B5),CONCATENATE("FINANCIAL RESULTS FOR COMPANY ",Instructions!B5))</f>
        <v>FINANCIAL RESULTS FOR COMPANY Firm</v>
      </c>
      <c r="B1" s="385"/>
      <c r="C1" s="385"/>
      <c r="D1" s="385"/>
      <c r="E1" s="385"/>
      <c r="F1" s="15"/>
      <c r="G1" s="385" t="str">
        <f>IF(Instructions!$B$1="CZ",CONCATENATE("ROČNÍ SOUHRN FIRMY ",Instructions!B5),CONCATENATE("FOUR-QUARTER SURVEY FOR COMPANY ",Instructions!B5))</f>
        <v>FOUR-QUARTER SURVEY FOR COMPANY Firm</v>
      </c>
      <c r="H1" s="385"/>
      <c r="I1" s="385"/>
      <c r="J1" s="385"/>
      <c r="K1" s="385"/>
      <c r="L1" s="385"/>
      <c r="M1" s="74"/>
    </row>
    <row r="2" spans="1:13" ht="16.5" thickBot="1" x14ac:dyDescent="0.3">
      <c r="A2" s="15"/>
      <c r="B2" s="15"/>
      <c r="C2" s="15"/>
      <c r="D2" s="15"/>
      <c r="E2" s="15"/>
      <c r="F2" s="15"/>
      <c r="G2" s="15"/>
      <c r="H2" s="15"/>
      <c r="I2" s="15"/>
      <c r="J2" s="15"/>
      <c r="K2" s="15"/>
      <c r="L2" s="15"/>
      <c r="M2" s="74"/>
    </row>
    <row r="3" spans="1:13" ht="19.5" thickBot="1" x14ac:dyDescent="0.35">
      <c r="A3" s="391" t="str">
        <f>IF(Instructions!$B$1="CZ","MARKETING A PRODEJ","MARKETING AND SALES")</f>
        <v>MARKETING AND SALES</v>
      </c>
      <c r="B3" s="392"/>
      <c r="C3" s="393"/>
      <c r="D3" s="17" t="str">
        <f>IF(Instructions!$B$1="CZ","Očekávané výsledky pro čtvrtletí:","Expected results in quarter:")</f>
        <v>Expected results in quarter:</v>
      </c>
      <c r="E3" s="279">
        <f>ActualResults!E3+1</f>
        <v>5</v>
      </c>
      <c r="F3" s="15"/>
      <c r="G3" s="251" t="str">
        <f>IF(Instructions!$B$1="CZ","ČTVRTLETÍ","QUARTER")</f>
        <v>QUARTER</v>
      </c>
      <c r="H3" s="69">
        <f>INT((E3-1)/4)*4+1</f>
        <v>5</v>
      </c>
      <c r="I3" s="70">
        <f>INT((E3-1)/4)*4+2</f>
        <v>6</v>
      </c>
      <c r="J3" s="70">
        <f>INT((E3-1)/4)*4+3</f>
        <v>7</v>
      </c>
      <c r="K3" s="71">
        <f>INT((E3-1)/4)*4+4</f>
        <v>8</v>
      </c>
      <c r="L3" s="46" t="str">
        <f>IF(Instructions!$B$1="CZ","CELKEM","TOTAL")</f>
        <v>TOTAL</v>
      </c>
      <c r="M3" s="74"/>
    </row>
    <row r="4" spans="1:13" x14ac:dyDescent="0.25">
      <c r="A4" s="19" t="str">
        <f>IF(Instructions!$B$1="CZ","PRODUKT","PRODUCT")</f>
        <v>PRODUCT</v>
      </c>
      <c r="B4" s="20" t="str">
        <f>IF(Instructions!$B$1="CZ","STOLY","DESKS")</f>
        <v>DESKS</v>
      </c>
      <c r="C4" s="21" t="str">
        <f>IF(Instructions!$B$1="CZ","SKŘÍŇKY","CABINETS")</f>
        <v>CABINETS</v>
      </c>
      <c r="D4" s="15"/>
      <c r="E4" s="15"/>
      <c r="F4" s="15"/>
      <c r="G4" s="114" t="str">
        <f>IF(Instructions!$B$1="CZ","Tržby","Sales")</f>
        <v>Sales</v>
      </c>
      <c r="H4" s="84">
        <f>IF(E3&gt;H3,ActualResults!H4,B35)</f>
        <v>0</v>
      </c>
      <c r="I4" s="47" t="str">
        <f>IF($E$3=I3,$B$35,IF($E$3&gt;I3,ActualResults!I4,""))</f>
        <v/>
      </c>
      <c r="J4" s="47" t="str">
        <f>IF($E$3=J3,$B$35,IF($E$3&gt;J3,ActualResults!J4,""))</f>
        <v/>
      </c>
      <c r="K4" s="48" t="str">
        <f>IF($E$3=K3,$B$35,"")</f>
        <v/>
      </c>
      <c r="L4" s="49">
        <f t="shared" ref="L4:L12" si="0">SUM(H4:K4)</f>
        <v>0</v>
      </c>
      <c r="M4" s="74"/>
    </row>
    <row r="5" spans="1:13" x14ac:dyDescent="0.25">
      <c r="A5" s="22" t="str">
        <f>IF(Instructions!$B$1="CZ","Cena [Kč za ks]","Price [CZK per piece]")</f>
        <v>Price [CZK per piece]</v>
      </c>
      <c r="B5" s="23">
        <f>Decision!B16</f>
        <v>0</v>
      </c>
      <c r="C5" s="24">
        <f>Decision!C16</f>
        <v>0</v>
      </c>
      <c r="D5" s="15"/>
      <c r="E5" s="15"/>
      <c r="F5" s="15"/>
      <c r="G5" s="115" t="str">
        <f>IF(Instructions!$B$1="CZ","Náklady prodaných výrobků","Costs of goods sold")</f>
        <v>Costs of goods sold</v>
      </c>
      <c r="H5" s="85">
        <f>IF($E$3&gt;$H$3,ActualResults!H5,B69)</f>
        <v>0</v>
      </c>
      <c r="I5" s="50" t="str">
        <f>IF($E$3=I3,$B$69,IF($E$3&gt;I3,ActualResults!I5,""))</f>
        <v/>
      </c>
      <c r="J5" s="50" t="str">
        <f>IF($E$3=J3,$B$69,IF($E$3&gt;J3,ActualResults!J5,""))</f>
        <v/>
      </c>
      <c r="K5" s="52" t="str">
        <f>IF($E$3=K3,$B$69,"")</f>
        <v/>
      </c>
      <c r="L5" s="53">
        <f t="shared" si="0"/>
        <v>0</v>
      </c>
      <c r="M5" s="74"/>
    </row>
    <row r="6" spans="1:13" x14ac:dyDescent="0.25">
      <c r="A6" s="22" t="str">
        <f>IF(Instructions!$B$1="CZ","Nabídka [ks]","Offer [pcs]")</f>
        <v>Offer [pcs]</v>
      </c>
      <c r="B6" s="23">
        <f>Decision!B18</f>
        <v>0</v>
      </c>
      <c r="C6" s="24">
        <f>Decision!C18</f>
        <v>0</v>
      </c>
      <c r="D6" s="394"/>
      <c r="E6" s="395"/>
      <c r="F6" s="15"/>
      <c r="G6" s="115" t="str">
        <f>IF(Instructions!$B$1="CZ","Nepřímé náklady","Indirect costs")</f>
        <v>Indirect costs</v>
      </c>
      <c r="H6" s="85">
        <f>IF($E$3&gt;$H$3,ActualResults!H6,B74)</f>
        <v>248500</v>
      </c>
      <c r="I6" s="50" t="str">
        <f>IF($E$3=I3,$B$74,IF($E$3&gt;I3,ActualResults!I6,""))</f>
        <v/>
      </c>
      <c r="J6" s="50" t="str">
        <f>IF($E$3=J3,$B$74,IF($E$3&gt;J3,ActualResults!J6,""))</f>
        <v/>
      </c>
      <c r="K6" s="52" t="str">
        <f>IF($E$3=K3,$B$74,"")</f>
        <v/>
      </c>
      <c r="L6" s="53">
        <f t="shared" si="0"/>
        <v>248500</v>
      </c>
      <c r="M6" s="74"/>
    </row>
    <row r="7" spans="1:13" x14ac:dyDescent="0.25">
      <c r="A7" s="22" t="str">
        <f>IF(Instructions!$B$1="CZ","Potenciální prodej [ks]","Potential sales [pcs]")</f>
        <v>Potential sales [pcs]</v>
      </c>
      <c r="B7" s="426">
        <v>2200</v>
      </c>
      <c r="C7" s="427">
        <v>870</v>
      </c>
      <c r="D7" s="396" t="str">
        <f>IF(Instructions!$B$1="CZ","&lt;=Doplňte očekávaný potenciál trhu pro VAŠI firmu","&lt;=Fill-in the expected potential for YOUR company")</f>
        <v>&lt;=Fill-in the expected potential for YOUR company</v>
      </c>
      <c r="E7" s="397"/>
      <c r="F7" s="15"/>
      <c r="G7" s="115" t="str">
        <f>IF(Instructions!$B$1="CZ","Provozní zisk","Operating result")</f>
        <v>Operating result</v>
      </c>
      <c r="H7" s="85">
        <f>IF($E$3&gt;$H$3,ActualResults!H7,B80)</f>
        <v>-248500</v>
      </c>
      <c r="I7" s="50" t="str">
        <f>IF($E$3=I3,$B$80,IF($E$3&gt;I3,ActualResults!I7,""))</f>
        <v/>
      </c>
      <c r="J7" s="50" t="str">
        <f>IF($E$3=J3,$B$80,IF($E$3&gt;J3,ActualResults!J7,""))</f>
        <v/>
      </c>
      <c r="K7" s="52" t="str">
        <f>IF($E$3=K3,$B$80,"")</f>
        <v/>
      </c>
      <c r="L7" s="53">
        <f t="shared" si="0"/>
        <v>-248500</v>
      </c>
      <c r="M7" s="74"/>
    </row>
    <row r="8" spans="1:13" x14ac:dyDescent="0.25">
      <c r="A8" s="22" t="str">
        <f>IF(Instructions!$B$1="CZ","Skutečný prodej [ks]","Actual sales [pcs]")</f>
        <v>Actual sales [pcs]</v>
      </c>
      <c r="B8" s="23">
        <f>IF(B7&lt;=B6,B7,B6)</f>
        <v>0</v>
      </c>
      <c r="C8" s="24">
        <f>IF(C7&lt;=C6,C7,C6)</f>
        <v>0</v>
      </c>
      <c r="D8" s="232"/>
      <c r="E8" s="232"/>
      <c r="F8" s="15"/>
      <c r="G8" s="115" t="str">
        <f>IF(Instructions!$B$1="CZ","Úroky","Capital costs")</f>
        <v>Capital costs</v>
      </c>
      <c r="H8" s="85">
        <f>IF($E$3&gt;$H$3,ActualResults!H8,B43)</f>
        <v>0</v>
      </c>
      <c r="I8" s="50" t="str">
        <f>IF($E$3=I3,$B$43,IF($E$3&gt;I3,ActualResults!I8,""))</f>
        <v/>
      </c>
      <c r="J8" s="50" t="str">
        <f>IF($E$3=J3,$B$43,IF($E$3&gt;J3,ActualResults!J8,""))</f>
        <v/>
      </c>
      <c r="K8" s="52" t="str">
        <f>IF($E$3=K3,$B$43,"")</f>
        <v/>
      </c>
      <c r="L8" s="53">
        <f t="shared" si="0"/>
        <v>0</v>
      </c>
      <c r="M8" s="74"/>
    </row>
    <row r="9" spans="1:13" ht="16.5" thickBot="1" x14ac:dyDescent="0.3">
      <c r="A9" s="26" t="str">
        <f>IF(Instructions!$B$1="CZ","Tržby [Kč]","Sales [CZK]")</f>
        <v>Sales [CZK]</v>
      </c>
      <c r="B9" s="27">
        <f>B8*B5</f>
        <v>0</v>
      </c>
      <c r="C9" s="28">
        <f>C8*C5</f>
        <v>0</v>
      </c>
      <c r="D9" s="74"/>
      <c r="E9" s="74"/>
      <c r="F9" s="15"/>
      <c r="G9" s="115" t="str">
        <f>IF(Instructions!$B$1="CZ","Mimořádné výdaje","Extraordinary expenses")</f>
        <v>Extraordinary expenses</v>
      </c>
      <c r="H9" s="85">
        <f>IF($E$3&gt;$H$3,ActualResults!H9,B51)</f>
        <v>0</v>
      </c>
      <c r="I9" s="50" t="str">
        <f>IF($E$3=I3,IF($B$51&lt;0,$B$51,0),IF($E$3&gt;I3,ActualResults!I9,""))</f>
        <v/>
      </c>
      <c r="J9" s="50" t="str">
        <f>IF($E$3=J3,IF($B$51&lt;0,$B$51,0),IF($E$3&gt;J3,ActualResults!J9,""))</f>
        <v/>
      </c>
      <c r="K9" s="52" t="str">
        <f>IF($E$3=K3,IF($B$51&lt;0,$B$51,0),"")</f>
        <v/>
      </c>
      <c r="L9" s="53">
        <f t="shared" si="0"/>
        <v>0</v>
      </c>
      <c r="M9" s="74"/>
    </row>
    <row r="10" spans="1:13" ht="16.5" thickBot="1" x14ac:dyDescent="0.3">
      <c r="A10" s="15"/>
      <c r="B10" s="15"/>
      <c r="C10" s="15"/>
      <c r="D10" s="74"/>
      <c r="E10" s="74"/>
      <c r="F10" s="15"/>
      <c r="G10" s="115" t="str">
        <f>IF(Instructions!$B$1="CZ","Daně","Taxes")</f>
        <v>Taxes</v>
      </c>
      <c r="H10" s="85">
        <f>IF($E$3&gt;$H$3,ActualResults!H10,E59)</f>
        <v>0</v>
      </c>
      <c r="I10" s="50" t="str">
        <f>IF($E$3=I3,$E$59,IF($E$3&gt;I3,ActualResults!I10,""))</f>
        <v/>
      </c>
      <c r="J10" s="50" t="str">
        <f>IF($E$3=J3,$E$59,IF($E$3&gt;J3,ActualResults!J10,""))</f>
        <v/>
      </c>
      <c r="K10" s="52" t="str">
        <f>IF($E$3=K3,$E$59,"")</f>
        <v/>
      </c>
      <c r="L10" s="53"/>
      <c r="M10" s="74"/>
    </row>
    <row r="11" spans="1:13" ht="18.75" x14ac:dyDescent="0.3">
      <c r="A11" s="391" t="str">
        <f>IF(Instructions!$B$1="CZ","VÝROBA","PRODUCTION")</f>
        <v>PRODUCTION</v>
      </c>
      <c r="B11" s="392"/>
      <c r="C11" s="393"/>
      <c r="D11" s="394"/>
      <c r="E11" s="395"/>
      <c r="F11" s="247"/>
      <c r="G11" s="115" t="str">
        <f>IF(Instructions!$B$1="CZ","Mimořádné příjmy","Extraordinary revenues")</f>
        <v>Extraordinary revenues</v>
      </c>
      <c r="H11" s="85">
        <f>IF($E$3&gt;$H$3,ActualResults!H11,IF(B51&gt;0,B51,0))</f>
        <v>0</v>
      </c>
      <c r="I11" s="50" t="str">
        <f>IF($E$3=I3,IF($B$51&gt;0,$B$51,0),IF($E$3&gt;I3,ActualResults!I11,""))</f>
        <v/>
      </c>
      <c r="J11" s="50" t="str">
        <f>IF($E$3=J3,IF($B$51&gt;0,$B$51,0),IF($E$3&gt;J3,ActualResults!J11,""))</f>
        <v/>
      </c>
      <c r="K11" s="52" t="str">
        <f>IF($E$3=K3,IF($B$51&gt;0,$B$51,0),"")</f>
        <v/>
      </c>
      <c r="L11" s="53">
        <f t="shared" si="0"/>
        <v>0</v>
      </c>
      <c r="M11" s="74"/>
    </row>
    <row r="12" spans="1:13" ht="16.5" thickBot="1" x14ac:dyDescent="0.3">
      <c r="A12" s="19" t="str">
        <f>IF(Instructions!$B$1="CZ","VÝROBEK","PRODUCT")</f>
        <v>PRODUCT</v>
      </c>
      <c r="B12" s="20" t="str">
        <f>IF(Instructions!$B$1="CZ","STOLY","DESKS")</f>
        <v>DESKS</v>
      </c>
      <c r="C12" s="21" t="str">
        <f>IF(Instructions!$B$1="CZ","SKŘÍŇKY","CABINETS")</f>
        <v>CABINETS</v>
      </c>
      <c r="D12" s="231"/>
      <c r="E12" s="231"/>
      <c r="F12" s="15"/>
      <c r="G12" s="116" t="str">
        <f>IF(Instructions!$B$1="CZ","Čistý zisk","Net results")</f>
        <v>Net results</v>
      </c>
      <c r="H12" s="86">
        <f>IF($E$3&gt;$H$3,ActualResults!H12,B87)</f>
        <v>-248500</v>
      </c>
      <c r="I12" s="55" t="str">
        <f>IF($E$3=I3,$B$87,IF($E$3&gt;I3,ActualResults!I12,""))</f>
        <v/>
      </c>
      <c r="J12" s="55" t="str">
        <f>IF($E$3=J3,$B$87,IF($E$3&gt;J3,ActualResults!J12,""))</f>
        <v/>
      </c>
      <c r="K12" s="56" t="str">
        <f>IF($E$3=K3,$B$87,"")</f>
        <v/>
      </c>
      <c r="L12" s="57">
        <f t="shared" si="0"/>
        <v>-248500</v>
      </c>
      <c r="M12" s="74"/>
    </row>
    <row r="13" spans="1:13" x14ac:dyDescent="0.25">
      <c r="A13" s="22" t="str">
        <f>IF(Instructions!$B$1="CZ","Počáteční zásoba [ks]","Opening stock [pcs]")</f>
        <v>Opening stock [pcs]</v>
      </c>
      <c r="B13" s="23">
        <f>ActualResults!B16</f>
        <v>0</v>
      </c>
      <c r="C13" s="24">
        <f>ActualResults!C16</f>
        <v>0</v>
      </c>
      <c r="D13" s="232"/>
      <c r="E13" s="232"/>
      <c r="F13" s="233"/>
      <c r="G13" s="117" t="str">
        <f>IF(Instructions!$B$1="CZ","Průzkum trhu","Market survey")</f>
        <v>Market survey</v>
      </c>
      <c r="H13" s="85">
        <f>IF($E$3&gt;$H$3,ActualResults!H13,B75)</f>
        <v>0</v>
      </c>
      <c r="I13" s="51" t="str">
        <f>IF($E$3=I3,$B$75,IF($E$3&gt;I3,ActualResults!I13,""))</f>
        <v/>
      </c>
      <c r="J13" s="51" t="str">
        <f>IF($E$3=J3,$B$75,IF($E$3&gt;J3,ActualResults!J13,""))</f>
        <v/>
      </c>
      <c r="K13" s="83" t="str">
        <f>IF($E$3=K3,$B$75,"")</f>
        <v/>
      </c>
      <c r="L13" s="58"/>
      <c r="M13" s="74"/>
    </row>
    <row r="14" spans="1:13" x14ac:dyDescent="0.25">
      <c r="A14" s="22" t="str">
        <f>IF(Instructions!$B$1="CZ","Plánovaná výroba [ks]","Planned production [pcs]")</f>
        <v>Planned production [pcs]</v>
      </c>
      <c r="B14" s="29">
        <f>IF(AND(Decision!G32&lt;=VLOOKUP(G21,G21:K21,MOD(E3-1,4)+2,0),B23&gt;=0,C23&gt;=0),Decision!E32,IF(Instructions!B1="CZ","Nelze dodržet plán","Plan cannot be fulfilled"))</f>
        <v>0</v>
      </c>
      <c r="C14" s="30">
        <f>IF(AND(Decision!G32&lt;=VLOOKUP(G21,G21:K21,MOD(E3-1,4)+2,0),B23&gt;=0,C23&gt;=0),Decision!F32,IF(Instructions!B1="CZ","Nelze dodržet plán","Plan cannot be fulfilled"))</f>
        <v>0</v>
      </c>
      <c r="D14" s="232"/>
      <c r="E14" s="232"/>
      <c r="F14" s="233"/>
      <c r="G14" s="115" t="str">
        <f>IF(Instructions!$B$1="CZ","Cena stolu","Price of Desks")</f>
        <v>Price of Desks</v>
      </c>
      <c r="H14" s="85">
        <f>IF($E$3&gt;$H$3,ActualResults!H14,B5)</f>
        <v>0</v>
      </c>
      <c r="I14" s="50" t="str">
        <f>IF($E$3=I3,$B$5,IF($E$3&gt;I3,ActualResults!I14,""))</f>
        <v/>
      </c>
      <c r="J14" s="50" t="str">
        <f>IF($E$3=J3,$B$5,IF($E$3&gt;J3,ActualResults!J14,""))</f>
        <v/>
      </c>
      <c r="K14" s="52" t="str">
        <f>IF($E$3=K3,$B$5,"")</f>
        <v/>
      </c>
      <c r="L14" s="94"/>
      <c r="M14" s="74"/>
    </row>
    <row r="15" spans="1:13" ht="16.5" thickBot="1" x14ac:dyDescent="0.3">
      <c r="A15" s="26" t="str">
        <f>IF(Instructions!$B$1="CZ","Konečná zásoba [ks]","Inventory [pcs]")</f>
        <v>Inventory [pcs]</v>
      </c>
      <c r="B15" s="27">
        <f>B13+B14-B8</f>
        <v>0</v>
      </c>
      <c r="C15" s="28">
        <f>C14+C13-C8</f>
        <v>0</v>
      </c>
      <c r="D15" s="233"/>
      <c r="E15" s="233"/>
      <c r="F15" s="233"/>
      <c r="G15" s="115" t="str">
        <f>IF(Instructions!$B$1="CZ","Cena skříňky","Price of cabinets")</f>
        <v>Price of cabinets</v>
      </c>
      <c r="H15" s="85">
        <f>IF($E$3&gt;$H$3,ActualResults!H15,C5)</f>
        <v>0</v>
      </c>
      <c r="I15" s="50" t="str">
        <f>IF($E$3=I3,$C$5,IF($E$3&gt;I3,ActualResults!I15,""))</f>
        <v/>
      </c>
      <c r="J15" s="50" t="str">
        <f>IF($E$3=J3,$C$5,IF($E$3&gt;J3,ActualResults!J15,""))</f>
        <v/>
      </c>
      <c r="K15" s="52" t="str">
        <f>IF($E$3=K3,$C$5,"")</f>
        <v/>
      </c>
      <c r="L15" s="94"/>
      <c r="M15" s="74"/>
    </row>
    <row r="16" spans="1:13" ht="16.5" thickBot="1" x14ac:dyDescent="0.3">
      <c r="A16" s="15"/>
      <c r="B16" s="15"/>
      <c r="C16" s="15"/>
      <c r="D16" s="63"/>
      <c r="E16" s="63"/>
      <c r="F16" s="15"/>
      <c r="G16" s="118" t="str">
        <f>IF(Instructions!$B$1="CZ","Náklady neuspokojené poptávky","Out-of-stock costs")</f>
        <v>Out-of-stock costs</v>
      </c>
      <c r="H16" s="87">
        <f>IF($E$3&gt;$H$3,ActualResults!H16,B77)</f>
        <v>98500</v>
      </c>
      <c r="I16" s="60" t="str">
        <f>IF($E$3=I3,$B$77,IF($E$3&gt;I3,ActualResults!I16,""))</f>
        <v/>
      </c>
      <c r="J16" s="60" t="str">
        <f>IF($E$3=J3,$B$77,IF($E$3&gt;J3,ActualResults!J16,""))</f>
        <v/>
      </c>
      <c r="K16" s="61" t="str">
        <f>IF($E$3=K3,$B$77,"")</f>
        <v/>
      </c>
      <c r="L16" s="57">
        <f>SUM(H16:K16)</f>
        <v>98500</v>
      </c>
      <c r="M16" s="74"/>
    </row>
    <row r="17" spans="1:13" ht="18.75" x14ac:dyDescent="0.3">
      <c r="A17" s="391" t="str">
        <f>IF(Instructions!$B$1="CZ","ZÁSOBOVÁNÍ","PROCUREMENT")</f>
        <v>PROCUREMENT</v>
      </c>
      <c r="B17" s="392"/>
      <c r="C17" s="393"/>
      <c r="D17" s="15"/>
      <c r="E17" s="15"/>
      <c r="F17" s="15"/>
      <c r="G17" s="119" t="str">
        <f>IF(Instructions!$B$1="CZ","Počet strojů","Capacity")</f>
        <v>Capacity</v>
      </c>
      <c r="H17" s="88" t="str">
        <f>IF($E$3&gt;$H$3,ActualResults!H17,CONCATENATE(ActualResults!B58/600000," (",IF(Decision!B36&gt;0,-Decision!B36,Decision!B35),")"))</f>
        <v>0 (0)</v>
      </c>
      <c r="I17" s="72" t="str">
        <f>IF($E$3=I3,CONCATENATE(ActualResults!$B$58/600000," (",IF(Decision!$B$36&gt;0,-Decision!$B$36,Decision!$B$35),")"),IF($E$3&gt;I3,ActualResults!I17,""))</f>
        <v/>
      </c>
      <c r="J17" s="72" t="str">
        <f>IF($E$3=J3,CONCATENATE(ActualResults!$B$58/600000," (",IF(Decision!$B$36&gt;0,-Decision!$B$36,Decision!$B$35),")"),IF($E$3&gt;J3,ActualResults!J17,""))</f>
        <v/>
      </c>
      <c r="K17" s="89" t="str">
        <f>IF($E$3=K3,CONCATENATE(ActualResults!$B$58/600000," (",IF(Decision!$B$36&gt;0,-Decision!$B$36,Decision!$B$35),")"),"")</f>
        <v/>
      </c>
      <c r="L17" s="59"/>
      <c r="M17" s="74"/>
    </row>
    <row r="18" spans="1:13" x14ac:dyDescent="0.25">
      <c r="A18" s="19" t="str">
        <f>IF(Instructions!$B$1="CZ","SUROVINA","RAW MATERIAL")</f>
        <v>RAW MATERIAL</v>
      </c>
      <c r="B18" s="20" t="str">
        <f>IF(Instructions!$B$1="CZ","DŘEVO","WOOD")</f>
        <v>WOOD</v>
      </c>
      <c r="C18" s="21" t="str">
        <f>IF(Instructions!$B$1="CZ","KOV","METAL")</f>
        <v>METAL</v>
      </c>
      <c r="D18" s="74"/>
      <c r="E18" s="15"/>
      <c r="F18" s="15"/>
      <c r="G18" s="126" t="str">
        <f>IF(Instructions!$B$1="CZ","Výroba - plán [%]","Production - plan [%]")</f>
        <v>Production - plan [%]</v>
      </c>
      <c r="H18" s="109" t="e">
        <f>IF($E$3&gt;$H$3,ActualResults!H18,(Decision!B32+Decision!C32)/((B57-B40)/600000*1500)*100)</f>
        <v>#DIV/0!</v>
      </c>
      <c r="I18" s="110" t="str">
        <f>IF($E$3=I3,$B$57/600000*1500/(Decision!$B$32+Decision!$C$32)*100,IF($E$3&gt;I3,ActualResults!I18,""))</f>
        <v/>
      </c>
      <c r="J18" s="110" t="str">
        <f>IF($E$3=J3,$B$57/600000*1500/(Decision!$B$32+Decision!$C$32)*100,IF($E$3&gt;J3,ActualResults!J18,""))</f>
        <v/>
      </c>
      <c r="K18" s="111" t="str">
        <f>IF($E$3=K3,$B$57/600000*1500/(Decision!$B$32+Decision!$C$32)*100,"")</f>
        <v/>
      </c>
      <c r="L18" s="58"/>
      <c r="M18" s="74"/>
    </row>
    <row r="19" spans="1:13" ht="16.5" thickBot="1" x14ac:dyDescent="0.3">
      <c r="A19" s="22" t="str">
        <f>IF(Instructions!$B$1="CZ","Počáteční zásoba [kg]","Opening stock [kg]")</f>
        <v>Opening stock [kg]</v>
      </c>
      <c r="B19" s="23">
        <f>ActualResults!B24</f>
        <v>0</v>
      </c>
      <c r="C19" s="24">
        <f>ActualResults!C24</f>
        <v>0</v>
      </c>
      <c r="D19" s="74"/>
      <c r="E19" s="15"/>
      <c r="F19" s="15"/>
      <c r="G19" s="126" t="str">
        <f>IF(Instructions!$B$1="CZ","Výroba - stutečnost [%]","Production - reality [%]")</f>
        <v>Production - reality [%]</v>
      </c>
      <c r="H19" s="248" t="e">
        <f>IF($E$3&gt;$H$3,ActualResults!H19,(Decision!B32+Decision!C32)/((B57-B40)/600000*1500)*100)</f>
        <v>#DIV/0!</v>
      </c>
      <c r="I19" s="60" t="str">
        <f>IF($E$3=I3,(Decision!$B$32+Decision!$C$32)/(($B$57-$B$40)/600000*1500)*100,IF($E$3&gt;I3,ActualResults!I19,""))</f>
        <v/>
      </c>
      <c r="J19" s="60" t="str">
        <f>IF($E$3=J3,(Decision!$B$32+Decision!$C$32)/(($B$57-$B$40)/600000*1500)*100,IF($E$3&gt;J3,ActualResults!J19,""))</f>
        <v/>
      </c>
      <c r="K19" s="61" t="str">
        <f>IF($E$3=K3,(Decision!$B$32+Decision!$C$32)/(($B$57-$B$40)/600000*1500)*100,"")</f>
        <v/>
      </c>
      <c r="L19" s="97"/>
      <c r="M19" s="74"/>
    </row>
    <row r="20" spans="1:13" x14ac:dyDescent="0.25">
      <c r="A20" s="22" t="str">
        <f>IF(Instructions!$B$1="CZ","Nákup [kg]","Purchase [kg]")</f>
        <v>Purchase [kg]</v>
      </c>
      <c r="B20" s="23">
        <f>Decision!B41</f>
        <v>0</v>
      </c>
      <c r="C20" s="24">
        <f>Decision!C41</f>
        <v>0</v>
      </c>
      <c r="D20" s="74"/>
      <c r="E20" s="15"/>
      <c r="F20" s="15"/>
      <c r="G20" s="127" t="str">
        <f>IF(Instructions!$B$1="CZ","Zaměstnanci - celkem","Employees - total")</f>
        <v>Employees - total</v>
      </c>
      <c r="H20" s="84">
        <f>IF($E$3&gt;$H$3,ActualResults!H20,ActualResults!K20+ActualResults!K22)</f>
        <v>0</v>
      </c>
      <c r="I20" s="47" t="str">
        <f>IF($E$3=I3,H20+H22,IF($E$3&gt;I3,ActualResults!I20,""))</f>
        <v/>
      </c>
      <c r="J20" s="47" t="str">
        <f>IF($E$3=J3,I20+I22,IF($E$3&gt;J3,ActualResults!J20,""))</f>
        <v/>
      </c>
      <c r="K20" s="48" t="str">
        <f>IF($E$3=K3,J20+J22,IF($E$3&gt;K3,ActualResults!K20,""))</f>
        <v/>
      </c>
      <c r="L20" s="91"/>
      <c r="M20" s="74"/>
    </row>
    <row r="21" spans="1:13" x14ac:dyDescent="0.25">
      <c r="A21" s="22" t="str">
        <f>IF(Instructions!$B$1="CZ","Cena [Kč za kg]","Price [CZK per kg]")</f>
        <v>Price [CZK per kg]</v>
      </c>
      <c r="B21" s="81">
        <f>VLOOKUP(E3,Decision!I3:K10,2,0)</f>
        <v>24</v>
      </c>
      <c r="C21" s="82">
        <f>VLOOKUP(E3,Decision!I3:K10,3,0)</f>
        <v>15</v>
      </c>
      <c r="D21" s="74"/>
      <c r="E21" s="15"/>
      <c r="F21" s="15"/>
      <c r="G21" s="127" t="str">
        <f>IF(Instructions!$B$1="CZ","Zaměstnanci - aktivní","Employees - active")</f>
        <v>Employees - active</v>
      </c>
      <c r="H21" s="92">
        <f>IF($E$3=H3,IF($B$31&lt;90,INT((H20)*0.75),IF($B$31&lt;100,INT((H20)*0.85),IF($B$31&lt;110,INT((H20)*0.95),(H20)))),IF($E$3&gt;H3,ActualResults!H21,""))</f>
        <v>0</v>
      </c>
      <c r="I21" s="92" t="str">
        <f>IF($E$3=I3,IF($B$31&lt;90,INT((I20)*0.75),IF($B$31&lt;100,INT((I20)*0.85),IF($B$31&lt;110,INT((I20)*0.95),(I20)))),IF($E$3&gt;I3,ActualResults!I21,""))</f>
        <v/>
      </c>
      <c r="J21" s="92" t="str">
        <f>IF($E$3=J3,IF($B$31&lt;90,INT((J20)*0.75),IF($B$31&lt;100,INT((J20)*0.85),IF($B$31&lt;110,INT((J20)*0.95),(J20)))),IF($E$3&gt;J3,ActualResults!J21,""))</f>
        <v/>
      </c>
      <c r="K21" s="93" t="str">
        <f>IF($E$3=K3,IF($B$31&lt;90,INT((K20)*0.75),IF($B$31&lt;100,INT((K20)*0.85),IF($B$31&lt;110,INT((K20)*0.95),(K20)))),"")</f>
        <v/>
      </c>
      <c r="L21" s="94"/>
      <c r="M21" s="74"/>
    </row>
    <row r="22" spans="1:13" x14ac:dyDescent="0.25">
      <c r="A22" s="22" t="str">
        <f>IF(Instructions!$B$1="CZ","Spotřeba [kg]","Consumption [kg]")</f>
        <v>Consumption [kg]</v>
      </c>
      <c r="B22" s="23">
        <f>Decision!E32*Data!F15+Data!G15*Decision!F32</f>
        <v>0</v>
      </c>
      <c r="C22" s="24">
        <f>Decision!E32*Data!F16+Data!G16*Decision!F32</f>
        <v>0</v>
      </c>
      <c r="D22" s="74"/>
      <c r="E22" s="15"/>
      <c r="F22" s="15"/>
      <c r="G22" s="127" t="str">
        <f>IF(Instructions!$B$1="CZ","Zaměstnanci - změna","Employees - change")</f>
        <v>Employees - change</v>
      </c>
      <c r="H22" s="85">
        <f>IF($E$3&gt;$H$3,ActualResults!H22,Decision!B46+Decision!B47)</f>
        <v>0</v>
      </c>
      <c r="I22" s="95" t="str">
        <f>IF($E$3=I3,Decision!$B$46-Decision!$B$47,IF($E$3&gt;I3,ActualResults!I22,""))</f>
        <v/>
      </c>
      <c r="J22" s="95" t="str">
        <f>IF($E$3=J3,Decision!$B$46-Decision!$B$47,IF($E$3&gt;J3,ActualResults!J22,""))</f>
        <v/>
      </c>
      <c r="K22" s="96" t="str">
        <f>IF($E$3=K3,Decision!$B$46-Decision!$B$47,"")</f>
        <v/>
      </c>
      <c r="L22" s="97"/>
      <c r="M22" s="74"/>
    </row>
    <row r="23" spans="1:13" ht="16.5" thickBot="1" x14ac:dyDescent="0.3">
      <c r="A23" s="26" t="str">
        <f>IF(Instructions!$B$1="CZ","Konečná zásoba [kg]","Inventory [kg]")</f>
        <v>Inventory [kg]</v>
      </c>
      <c r="B23" s="27">
        <f>B19+B20-B22</f>
        <v>0</v>
      </c>
      <c r="C23" s="28">
        <f>C19+C20-C22</f>
        <v>0</v>
      </c>
      <c r="D23" s="74"/>
      <c r="E23" s="15"/>
      <c r="F23" s="15"/>
      <c r="G23" s="127" t="str">
        <f>IF(Instructions!$B$1="CZ","Zaměstnanci - přům. náklady na pracovníka","Employees - average per employee")</f>
        <v>Employees - average per employee</v>
      </c>
      <c r="H23" s="86" t="e">
        <f>IF($E$3&gt;$H$3,ActualResults!H23,E27)</f>
        <v>#DIV/0!</v>
      </c>
      <c r="I23" s="55" t="str">
        <f>IF($E$3=I3,$E$27,IF($E$3&gt;I3,ActualResults!I23,""))</f>
        <v/>
      </c>
      <c r="J23" s="55" t="str">
        <f>IF($E$3=J3,$E$27,IF($E$3&gt;J3,ActualResults!J23,""))</f>
        <v/>
      </c>
      <c r="K23" s="56" t="str">
        <f>IF($E$3=K3,$E$27,"")</f>
        <v/>
      </c>
      <c r="L23" s="98"/>
      <c r="M23" s="74"/>
    </row>
    <row r="24" spans="1:13" ht="16.5" thickBot="1" x14ac:dyDescent="0.3">
      <c r="A24" s="15"/>
      <c r="B24" s="15"/>
      <c r="C24" s="15"/>
      <c r="D24" s="15"/>
      <c r="E24" s="15"/>
      <c r="F24" s="15"/>
      <c r="G24" s="123" t="str">
        <f>IF(Instructions!$B$1="CZ","Nedodržení plánované výroby","Production cut-backs")</f>
        <v>Production cut-backs</v>
      </c>
      <c r="H24" s="90">
        <f>IF($E$3&gt;$H$3,ActualResults!H24,IF(H21&lt;Decision!G32,"M",IF(Decision!B32+Decision!C32&gt;B57/600000*1500,"K",IF(B19+B20&lt;Decision!B40,"Dřevo",IF(C19+C20&lt;Decision!C40,"Kov",0)))))</f>
        <v>0</v>
      </c>
      <c r="I24" s="99" t="str">
        <f>IF($E$3=I3,IF(I21&lt;Decision!$G$32,"M",IF(Decision!$B$32+Decision!$C$32&gt;$B$57/600000*1500,"K",IF($C$19+$C$20&lt;Decision!$C$40,"Kov",IF($B$19+$B$20&lt;Decision!$B$40,"Dřevo",0)))),IF($E$3&gt;I3,ActualResults!I24,""))</f>
        <v/>
      </c>
      <c r="J24" s="99" t="str">
        <f>IF($E$3=J3,IF(J21&lt;Decision!$G$32,"M",IF(Decision!$B$32+Decision!$C$32&gt;$B$57/600000*1500,"K",IF($C$19+$C$20&lt;Decision!$C$40,"Kov",IF($B$19+$B$20&lt;Decision!$B$40,"Dřevo",0)))),IF($E$3&gt;J3,ActualResults!J24,""))</f>
        <v/>
      </c>
      <c r="K24" s="100" t="str">
        <f>IF($E$3=K3,IF(K21&lt;Decision!$G$32,"M",IF(Decision!$B$32+Decision!$C$32&gt;$B$57/600000*1500,"K",IF($C$19+$C$20&lt;Decision!$C$40,"Kov",IF($B$19+$B$20&lt;Decision!$B$40,"Dřevo",0)))),"")</f>
        <v/>
      </c>
      <c r="L24" s="101">
        <f>SUM(H24:K24)</f>
        <v>0</v>
      </c>
      <c r="M24" s="74"/>
    </row>
    <row r="25" spans="1:13" ht="18.75" x14ac:dyDescent="0.3">
      <c r="A25" s="386" t="str">
        <f>IF(Instructions!$B$1="CZ","LIDSKÉ ZDROJE","HUMAN RESOURCES")</f>
        <v>HUMAN RESOURCES</v>
      </c>
      <c r="B25" s="387"/>
      <c r="C25" s="387"/>
      <c r="D25" s="387"/>
      <c r="E25" s="388"/>
      <c r="F25" s="15"/>
      <c r="G25" s="124" t="str">
        <f>IF(Instructions!$B$1="CZ","Suroviny - nákup","Raw materials - purchase")</f>
        <v>Raw materials - purchase</v>
      </c>
      <c r="H25" s="85">
        <f>IF($E$3&gt;$H$3,ActualResults!H25,B70)</f>
        <v>0</v>
      </c>
      <c r="I25" s="51" t="str">
        <f>IF($E$3=I3,$B$70,IF($E$3&gt;I3,ActualResults!I25,""))</f>
        <v/>
      </c>
      <c r="J25" s="51" t="str">
        <f>IF($E$3=J3,$B$70,IF($E$3&gt;J3,ActualResults!J25,""))</f>
        <v/>
      </c>
      <c r="K25" s="83" t="str">
        <f>IF($E$3=K3,$B$70,"")</f>
        <v/>
      </c>
      <c r="L25" s="58"/>
      <c r="M25" s="74"/>
    </row>
    <row r="26" spans="1:13" x14ac:dyDescent="0.25">
      <c r="A26" s="31" t="str">
        <f>IF(Instructions!$B$1="CZ","Základní index","Base index")</f>
        <v>Base index</v>
      </c>
      <c r="B26" s="32">
        <v>100</v>
      </c>
      <c r="C26" s="32"/>
      <c r="D26" s="32" t="str">
        <f>IF(Instructions!$B$1="CZ","Pracovní náklady","Labour costs")</f>
        <v>Labour costs</v>
      </c>
      <c r="E26" s="33">
        <f>(VLOOKUP(G20,G20:K20,MOD(E3-1,4)+2,0)+VLOOKUP(G22,G22:K22,MOD(E3-1,4)+2,0))*Data!I32*B27/B26+IF(B29&gt;0,(VLOOKUP(G20,G20:K20,MOD(E3-1,4)+2,0)+VLOOKUP(G22,G22:K22,MOD(E3-1,4)+2,0))*Data!I32*B27/B26*0.05,0)</f>
        <v>0</v>
      </c>
      <c r="F26" s="15"/>
      <c r="G26" s="125" t="str">
        <f>IF(Instructions!$B$1="CZ","Suroviny - sleva","Raw materials - discount")</f>
        <v>Raw materials - discount</v>
      </c>
      <c r="H26" s="85">
        <f>IF($E$3&gt;$H$3,ActualResults!H26,IF(B20&lt;50000,0,0.02*B20*B21)+IF(C20&lt;50000,0,0.02*C20*C21))</f>
        <v>0</v>
      </c>
      <c r="I26" s="50" t="str">
        <f>IF($E$3=I3,IF($B$20&gt;=50000,0.02*$B$21*$B$20,0)+IF($C$20&gt;=50000,0.02*$C$21*$C$20,0),IF($E$3&gt;I3,ActualResults!I26,""))</f>
        <v/>
      </c>
      <c r="J26" s="50" t="str">
        <f>IF($E$3=J3,IF($B$20&gt;=50000,0.02*$B$21*$B$20,0)+IF($C$20&gt;=50000,0.02*$C$21*$C$20,0),IF($E$3&gt;J3,ActualResults!J26,""))</f>
        <v/>
      </c>
      <c r="K26" s="52" t="str">
        <f>IF($E$3=K3,IF($B$20&gt;=50000,0.02*$B$21*$B$20,0)+IF($C$20&gt;=50000,0.02*$C$21*$C$20,0),"")</f>
        <v/>
      </c>
      <c r="L26" s="94"/>
      <c r="M26" s="74"/>
    </row>
    <row r="27" spans="1:13" x14ac:dyDescent="0.25">
      <c r="A27" s="31" t="str">
        <f>IF(Instructions!$B$1="CZ","Mzdový index","Wage index")</f>
        <v>Wage index</v>
      </c>
      <c r="B27" s="32">
        <f>Decision!B44</f>
        <v>100</v>
      </c>
      <c r="C27" s="32"/>
      <c r="D27" s="32" t="str">
        <f>IF(Instructions!$B$1="CZ","Prům. náklady na pracovníka","Average per employee")</f>
        <v>Average per employee</v>
      </c>
      <c r="E27" s="33" t="e">
        <f>E26/(VLOOKUP(G20,G20:K20,MOD(E3-1,4)+2,0)+VLOOKUP(G22,G22:K22,MOD(E3-1,4)+2,0))</f>
        <v>#DIV/0!</v>
      </c>
      <c r="F27" s="34"/>
      <c r="G27" s="121" t="str">
        <f>IF(Instructions!$B$1="CZ","Suroviny - zásoba","Raw materials - stock")</f>
        <v>Raw materials - stock</v>
      </c>
      <c r="H27" s="85">
        <f>IF($E$3&gt;$H$3,ActualResults!H27,B58)</f>
        <v>0</v>
      </c>
      <c r="I27" s="50" t="str">
        <f>IF($E$3=I3,$B$58,IF($E$3&gt;I3,ActualResults!I27,""))</f>
        <v/>
      </c>
      <c r="J27" s="50" t="str">
        <f>IF($E$3=J3,$B$58,IF($E$3&gt;J3,ActualResults!J27,""))</f>
        <v/>
      </c>
      <c r="K27" s="52" t="str">
        <f>IF($E$3=K3,$B$58,"")</f>
        <v/>
      </c>
      <c r="L27" s="94"/>
      <c r="M27" s="74"/>
    </row>
    <row r="28" spans="1:13" ht="16.5" thickBot="1" x14ac:dyDescent="0.3">
      <c r="A28" s="31" t="str">
        <f>IF(Instructions!$B$1="CZ","Změna mzdového indexu","Change in wage level")</f>
        <v>Change in wage level</v>
      </c>
      <c r="B28" s="35">
        <f>B27-ActualResults!B28</f>
        <v>100</v>
      </c>
      <c r="C28" s="32"/>
      <c r="D28" s="32"/>
      <c r="E28" s="36"/>
      <c r="F28" s="15"/>
      <c r="G28" s="122" t="str">
        <f>IF(Instructions!$B$1="CZ","Suroviny - skladovací náklady","Raw materials - storage costs")</f>
        <v>Raw materials - storage costs</v>
      </c>
      <c r="H28" s="87">
        <f>IF($E$3&gt;$H$3,ActualResults!H28,B78)</f>
        <v>0</v>
      </c>
      <c r="I28" s="60" t="str">
        <f>IF($E$3=I3,$B$78,IF($E$3&gt;I3,ActualResults!I28,""))</f>
        <v/>
      </c>
      <c r="J28" s="60" t="str">
        <f>IF($E$3=J3,$B$78,IF($E$3&gt;J3,ActualResults!J28,""))</f>
        <v/>
      </c>
      <c r="K28" s="61" t="str">
        <f>IF($E$3=K3,$B$78,"")</f>
        <v/>
      </c>
      <c r="L28" s="62">
        <f>SUM(H28:K28)</f>
        <v>0</v>
      </c>
      <c r="M28" s="74"/>
    </row>
    <row r="29" spans="1:13" x14ac:dyDescent="0.25">
      <c r="A29" s="31" t="str">
        <f>IF(Instructions!$B$1="CZ","Vzdělávání","Training")</f>
        <v>Training</v>
      </c>
      <c r="B29" s="32">
        <f>IF(AND(ActualResults!B30&gt;0,Decision!B45&gt;0),10,IF(AND(ActualResults!B30&gt;0,Decision!B45=0),-5,IF(Decision!B45&gt;0,5,0)))</f>
        <v>0</v>
      </c>
      <c r="C29" s="32"/>
      <c r="D29" s="32"/>
      <c r="E29" s="36"/>
      <c r="F29" s="15"/>
      <c r="G29" s="120" t="str">
        <f>IF(Instructions!$B$1="CZ","Výrobky - zásoba","Products - stock")</f>
        <v>Products - stock</v>
      </c>
      <c r="H29" s="84">
        <f>IF($E$3&gt;$H$3,ActualResults!H29,B59)</f>
        <v>0</v>
      </c>
      <c r="I29" s="102" t="str">
        <f>IF($E$3=I3,$B$59,IF($E$3&gt;I3,ActualResults!I29,""))</f>
        <v/>
      </c>
      <c r="J29" s="102" t="str">
        <f>IF($E$3=J3,$B$59,IF($E$3&gt;J3,ActualResults!J29,""))</f>
        <v/>
      </c>
      <c r="K29" s="103" t="str">
        <f>IF($E$3=K3,$B$59,"")</f>
        <v/>
      </c>
      <c r="L29" s="91"/>
      <c r="M29" s="74"/>
    </row>
    <row r="30" spans="1:13" ht="16.5" thickBot="1" x14ac:dyDescent="0.3">
      <c r="A30" s="31" t="str">
        <f>IF(Instructions!$B$1="CZ","Vliv kokurence","Influence of competition")</f>
        <v>Influence of competition</v>
      </c>
      <c r="B30" s="35">
        <v>-5</v>
      </c>
      <c r="C30" s="32"/>
      <c r="D30" s="32"/>
      <c r="E30" s="36"/>
      <c r="F30" s="15"/>
      <c r="G30" s="122" t="str">
        <f>IF(Instructions!$B$1="CZ","Výrobky - skladovací náklady","Products - storage costs")</f>
        <v>Products - storage costs</v>
      </c>
      <c r="H30" s="86">
        <f>IF($E$3&gt;$H$3,ActualResults!H30,B79)</f>
        <v>0</v>
      </c>
      <c r="I30" s="55" t="str">
        <f>IF($E$3=I3,$B$79,IF($E$3&gt;I3,ActualResults!I30,""))</f>
        <v/>
      </c>
      <c r="J30" s="55" t="str">
        <f>IF($E$3=J3,$B$79,IF($E$3&gt;J3,ActualResults!J30,""))</f>
        <v/>
      </c>
      <c r="K30" s="56" t="str">
        <f>IF($E$3=K3,$B$79,"")</f>
        <v/>
      </c>
      <c r="L30" s="98">
        <f>SUM(H30:K30)</f>
        <v>0</v>
      </c>
      <c r="M30" s="74"/>
    </row>
    <row r="31" spans="1:13" ht="16.5" thickBot="1" x14ac:dyDescent="0.3">
      <c r="A31" s="37" t="str">
        <f>IF(Instructions!$B$1="CZ","Nový index","New index")</f>
        <v>New index</v>
      </c>
      <c r="B31" s="38">
        <f>B27+B28+B29+B30</f>
        <v>195</v>
      </c>
      <c r="C31" s="39"/>
      <c r="D31" s="39"/>
      <c r="E31" s="40"/>
      <c r="F31" s="15"/>
      <c r="G31" s="120" t="s">
        <v>4</v>
      </c>
      <c r="H31" s="84">
        <f>IF($E$3&gt;$H$3,ActualResults!H31,B31)</f>
        <v>195</v>
      </c>
      <c r="I31" s="102" t="str">
        <f>IF($E$3=I3,$B$31,IF($E$3&gt;I3,ActualResults!I31,""))</f>
        <v/>
      </c>
      <c r="J31" s="102" t="str">
        <f>IF($E$3=J3,$B$31,IF($E$3&gt;J3,ActualResults!J31,""))</f>
        <v/>
      </c>
      <c r="K31" s="103" t="str">
        <f>IF($E$3=K3,$B$31,"")</f>
        <v/>
      </c>
      <c r="L31" s="91"/>
      <c r="M31" s="74"/>
    </row>
    <row r="32" spans="1:13" ht="16.5" thickBot="1" x14ac:dyDescent="0.3">
      <c r="A32" s="15"/>
      <c r="B32" s="15"/>
      <c r="C32" s="15"/>
      <c r="D32" s="15"/>
      <c r="E32" s="15"/>
      <c r="F32" s="15"/>
      <c r="G32" s="126" t="str">
        <f>IF(Instructions!$B$1="CZ","Průměrný PI na trhu","PI - market average")</f>
        <v>PI - market average</v>
      </c>
      <c r="H32" s="85">
        <f>IF($E$3&gt;$H$3,ActualResults!H32,110)</f>
        <v>110</v>
      </c>
      <c r="I32" s="92" t="str">
        <f>IF($E$3=I3,110,IF($E$3&gt;I3,ActualResults!I32,""))</f>
        <v/>
      </c>
      <c r="J32" s="92" t="str">
        <f>IF($E$3=J3,110,IF($E$3&gt;J3,ActualResults!J32,""))</f>
        <v/>
      </c>
      <c r="K32" s="93" t="str">
        <f>IF($E$3=K3,110,"")</f>
        <v/>
      </c>
      <c r="L32" s="58"/>
      <c r="M32" s="74"/>
    </row>
    <row r="33" spans="1:13" ht="19.5" thickBot="1" x14ac:dyDescent="0.35">
      <c r="A33" s="389" t="s">
        <v>7</v>
      </c>
      <c r="B33" s="390"/>
      <c r="C33" s="41"/>
      <c r="D33" s="41"/>
      <c r="E33" s="41"/>
      <c r="F33" s="15"/>
      <c r="G33" s="127" t="str">
        <f>IF(Instructions!$B$1="CZ","Mzdový index","Wage index")</f>
        <v>Wage index</v>
      </c>
      <c r="H33" s="85">
        <f>IF($E$3&gt;$H$3,ActualResults!H33,B27)</f>
        <v>100</v>
      </c>
      <c r="I33" s="92" t="str">
        <f>IF($E$3=I3,$B$27,IF($E$3&gt;I3,ActualResults!I33,""))</f>
        <v/>
      </c>
      <c r="J33" s="92" t="str">
        <f>IF($E$3=J3,$B$27,IF($E$3&gt;J3,ActualResults!J33,""))</f>
        <v/>
      </c>
      <c r="K33" s="93" t="str">
        <f>IF($E$3=K3,$B$27,"")</f>
        <v/>
      </c>
      <c r="L33" s="94"/>
      <c r="M33" s="74"/>
    </row>
    <row r="34" spans="1:13" ht="16.5" thickBot="1" x14ac:dyDescent="0.3">
      <c r="A34" s="31" t="str">
        <f>IF(Instructions!$B$1="CZ","VÝCHOZÍ STAV HOTOVOSTI","OPENING BALANCE")</f>
        <v>OPENING BALANCE</v>
      </c>
      <c r="B34" s="42">
        <f>ActualResults!B54</f>
        <v>0</v>
      </c>
      <c r="C34" s="15"/>
      <c r="D34" s="15"/>
      <c r="E34" s="15"/>
      <c r="F34" s="15"/>
      <c r="G34" s="128" t="str">
        <f>IF(Instructions!$B$1="CZ","Vzdělávání","Training")</f>
        <v>Training</v>
      </c>
      <c r="H34" s="86">
        <f>IF($E$3&gt;$H$3,ActualResults!H34,IF(B29&gt;0,1,0))</f>
        <v>0</v>
      </c>
      <c r="I34" s="104" t="str">
        <f>IF($E$3=I3,IF(B29&gt;0,1,0),IF($E$3&gt;I3,ActualResults!I34,""))</f>
        <v/>
      </c>
      <c r="J34" s="104" t="str">
        <f>IF($E$3=J3,IF(B29&gt;0,1,0),IF($E$3&gt;J3,ActualResults!J34,""))</f>
        <v/>
      </c>
      <c r="K34" s="105" t="str">
        <f>IF($E$3=K3,IF(B29&gt;0,1,0),"")</f>
        <v/>
      </c>
      <c r="L34" s="98"/>
      <c r="M34" s="74"/>
    </row>
    <row r="35" spans="1:13" x14ac:dyDescent="0.25">
      <c r="A35" s="31" t="str">
        <f>IF(Instructions!$B$1="CZ","Tržby","Sales revenues")</f>
        <v>Sales revenues</v>
      </c>
      <c r="B35" s="42">
        <f>B9+C9</f>
        <v>0</v>
      </c>
      <c r="C35" s="15"/>
      <c r="D35" s="34"/>
      <c r="E35" s="15"/>
      <c r="F35" s="15"/>
      <c r="G35" s="124" t="str">
        <f>IF(Instructions!$B$1="CZ","Úvěry","Credits")</f>
        <v>Credits</v>
      </c>
      <c r="H35" s="85">
        <f>IF($E$3&gt;$H$3,ActualResults!H35,B36)</f>
        <v>0</v>
      </c>
      <c r="I35" s="106" t="str">
        <f>IF($E$3=I3,$B$36,IF($E$3&gt;I3,ActualResults!I35,""))</f>
        <v/>
      </c>
      <c r="J35" s="106" t="str">
        <f>IF($E$3=J3,$B$36,IF($E$3&gt;J3,ActualResults!J35,""))</f>
        <v/>
      </c>
      <c r="K35" s="107" t="str">
        <f>IF($E$3=K3,$B$36,"")</f>
        <v/>
      </c>
      <c r="L35" s="58">
        <f>SUM(H35:K35)</f>
        <v>0</v>
      </c>
      <c r="M35" s="74"/>
    </row>
    <row r="36" spans="1:13" x14ac:dyDescent="0.25">
      <c r="A36" s="31" t="str">
        <f>IF(Instructions!$B$1="CZ","Investiční úvěry","Investment credits")</f>
        <v>Investment credits</v>
      </c>
      <c r="B36" s="42">
        <f>Decision!B50</f>
        <v>0</v>
      </c>
      <c r="C36" s="15"/>
      <c r="D36" s="15"/>
      <c r="E36" s="15"/>
      <c r="F36" s="15"/>
      <c r="G36" s="127" t="str">
        <f>IF(Instructions!$B$1="CZ","Splátky","Repayments")</f>
        <v>Repayments</v>
      </c>
      <c r="H36" s="85">
        <f>IF($E$3&gt;$H$3,ActualResults!H36,B44)</f>
        <v>0</v>
      </c>
      <c r="I36" s="92" t="str">
        <f>IF($E$3=I3,$B$44,IF($E$3&gt;I3,ActualResults!I36,""))</f>
        <v/>
      </c>
      <c r="J36" s="92" t="str">
        <f>IF($E$3=J3,$B$44,IF($E$3&gt;J3,ActualResults!J36,""))</f>
        <v/>
      </c>
      <c r="K36" s="93" t="str">
        <f>IF($E$3=K3,$B$44,"")</f>
        <v/>
      </c>
      <c r="L36" s="58">
        <f>SUM(H36:K36)</f>
        <v>0</v>
      </c>
      <c r="M36" s="74"/>
    </row>
    <row r="37" spans="1:13" x14ac:dyDescent="0.25">
      <c r="A37" s="31" t="str">
        <f>IF(Instructions!$B$1="CZ","Překlenovací úvěr","Extended credit")</f>
        <v>Extended credit</v>
      </c>
      <c r="B37" s="348">
        <f>IF((B34+B35+B36+B38-SUM(B40:B51))&lt;0,CEILING(-(B34+B35+B36+B38-SUM(B40:B51)),10000),0)</f>
        <v>250000</v>
      </c>
      <c r="C37" s="15"/>
      <c r="D37" s="15"/>
      <c r="E37" s="15"/>
      <c r="F37" s="15"/>
      <c r="G37" s="127" t="str">
        <f>IF(Instructions!$B$1="CZ","Překlenovací úvěr","Extended credit")</f>
        <v>Extended credit</v>
      </c>
      <c r="H37" s="85">
        <f>IF($E$3&gt;$H$3,ActualResults!H37,B37)</f>
        <v>250000</v>
      </c>
      <c r="I37" s="92" t="str">
        <f>IF($E$3=I3,$B$37,IF($E$3&gt;I3,ActualResults!I37,""))</f>
        <v/>
      </c>
      <c r="J37" s="92" t="str">
        <f>IF($E$3=J3,$B$37,IF($E$3&gt;J3,ActualResults!J37,""))</f>
        <v/>
      </c>
      <c r="K37" s="93" t="str">
        <f>IF($E$3=K3,$B$37,"")</f>
        <v/>
      </c>
      <c r="L37" s="94">
        <f>SUM(H37:K37)</f>
        <v>250000</v>
      </c>
      <c r="M37" s="74"/>
    </row>
    <row r="38" spans="1:13" ht="16.5" thickBot="1" x14ac:dyDescent="0.3">
      <c r="A38" s="31" t="str">
        <f>IF(Instructions!$B$1="CZ","Mimořádné příjmy","Extraordinary incomes")</f>
        <v>Extraordinary incomes</v>
      </c>
      <c r="B38" s="42">
        <f>(Decision!B36*300000)</f>
        <v>0</v>
      </c>
      <c r="C38" s="74"/>
      <c r="D38" s="74"/>
      <c r="E38" s="74"/>
      <c r="F38" s="15"/>
      <c r="G38" s="129" t="str">
        <f>IF(Instructions!$B$1="CZ","Hotovost","Cash")</f>
        <v>Cash</v>
      </c>
      <c r="H38" s="86">
        <f>IF($E$3&gt;$H$3,ActualResults!H38,B53)</f>
        <v>1500</v>
      </c>
      <c r="I38" s="104" t="str">
        <f>IF($E$3=I3,$B$53,IF($E$3&gt;I3,ActualResults!I38,""))</f>
        <v/>
      </c>
      <c r="J38" s="104" t="str">
        <f>IF($E$3=J3,$B$53,IF($E$3&gt;J3,ActualResults!J38,""))</f>
        <v/>
      </c>
      <c r="K38" s="105" t="str">
        <f>IF($E$3=K3,$B$53,"")</f>
        <v/>
      </c>
      <c r="L38" s="97"/>
      <c r="M38" s="74"/>
    </row>
    <row r="39" spans="1:13" ht="16.5" thickBot="1" x14ac:dyDescent="0.3">
      <c r="A39" s="37" t="str">
        <f>IF(Instructions!$B$1="CZ","PŘÍJMY CELKEM","TOTAL REVENUES")</f>
        <v>TOTAL REVENUES</v>
      </c>
      <c r="B39" s="349">
        <f>B35+B36+B37+B38</f>
        <v>250000</v>
      </c>
      <c r="C39" s="15"/>
      <c r="D39" s="34"/>
      <c r="E39" s="15"/>
      <c r="F39" s="15"/>
      <c r="G39" s="123" t="str">
        <f>IF(Instructions!$B$1="CZ","Cena akcie","Stockprice")</f>
        <v>Stockprice</v>
      </c>
      <c r="H39" s="90"/>
      <c r="I39" s="99"/>
      <c r="J39" s="64"/>
      <c r="K39" s="108"/>
      <c r="L39" s="101"/>
      <c r="M39" s="74"/>
    </row>
    <row r="40" spans="1:13" x14ac:dyDescent="0.25">
      <c r="A40" s="31" t="str">
        <f>IF(Instructions!$B$1="CZ","Investice","Investments")</f>
        <v>Investments</v>
      </c>
      <c r="B40" s="42">
        <f>Decision!B35*600000</f>
        <v>0</v>
      </c>
      <c r="C40" s="15"/>
      <c r="D40" s="15"/>
      <c r="E40" s="15"/>
      <c r="F40" s="15"/>
      <c r="G40" s="74"/>
      <c r="H40" s="15"/>
      <c r="I40" s="15"/>
      <c r="J40" s="15"/>
      <c r="K40" s="15"/>
      <c r="L40" s="15"/>
      <c r="M40" s="74"/>
    </row>
    <row r="41" spans="1:13" x14ac:dyDescent="0.25">
      <c r="A41" s="31" t="str">
        <f>IF(Instructions!$B$1="CZ","Marketingové oddělení","Marketing department")</f>
        <v>Marketing department</v>
      </c>
      <c r="B41" s="42">
        <f>B76</f>
        <v>150000</v>
      </c>
      <c r="C41" s="34"/>
      <c r="D41" s="15"/>
      <c r="E41" s="15"/>
      <c r="F41" s="74"/>
      <c r="G41" s="74"/>
      <c r="H41" s="15"/>
      <c r="I41" s="15"/>
      <c r="J41" s="15"/>
      <c r="K41" s="15"/>
      <c r="L41" s="15"/>
      <c r="M41" s="74"/>
    </row>
    <row r="42" spans="1:13" x14ac:dyDescent="0.25">
      <c r="A42" s="31" t="str">
        <f>IF(Instructions!$B$1="CZ","Průzkumy","Market research")</f>
        <v>Market research</v>
      </c>
      <c r="B42" s="42">
        <f>(1-(Decision!B6+Decision!C6)*0.05+0.05)*(Decision!B6+Decision!C6)*25000+IF(Decision!B2=5,0)+Decision!B12*5000+Decision!B13*25000+(1-(Decision!B9)*0.05+0.05)*(Decision!B9)*10000</f>
        <v>0</v>
      </c>
      <c r="C42" s="34"/>
      <c r="D42" s="74"/>
      <c r="E42" s="74"/>
      <c r="F42" s="74"/>
      <c r="G42" s="11"/>
      <c r="H42" s="11"/>
      <c r="I42" s="11"/>
      <c r="J42" s="11"/>
      <c r="K42" s="11"/>
      <c r="L42" s="11"/>
      <c r="M42" s="11"/>
    </row>
    <row r="43" spans="1:13" x14ac:dyDescent="0.25">
      <c r="A43" s="31" t="str">
        <f>IF(Instructions!$B$1="CZ","Úroky","Interests")</f>
        <v>Interests</v>
      </c>
      <c r="B43" s="42">
        <f>E57*0.03+ActualResults!B38*0.1</f>
        <v>0</v>
      </c>
      <c r="C43" s="34"/>
      <c r="D43" s="74"/>
      <c r="E43" s="74"/>
      <c r="F43" s="74"/>
      <c r="G43" s="11"/>
      <c r="H43" s="11"/>
      <c r="I43" s="11"/>
      <c r="J43" s="11"/>
      <c r="K43" s="11"/>
      <c r="L43" s="11"/>
      <c r="M43" s="11"/>
    </row>
    <row r="44" spans="1:13" x14ac:dyDescent="0.25">
      <c r="A44" s="31" t="str">
        <f>IF(Instructions!$B$1="CZ","Splátky","Repayments")</f>
        <v>Repayments</v>
      </c>
      <c r="B44" s="42">
        <f>ActualResults!E59+Decision!B51</f>
        <v>0</v>
      </c>
      <c r="C44" s="34"/>
      <c r="D44" s="74"/>
      <c r="E44" s="74"/>
      <c r="F44" s="74"/>
      <c r="G44" s="11"/>
      <c r="H44" s="11"/>
      <c r="I44" s="11"/>
      <c r="J44" s="11"/>
      <c r="K44" s="11"/>
      <c r="L44" s="11"/>
      <c r="M44" s="11"/>
    </row>
    <row r="45" spans="1:13" x14ac:dyDescent="0.25">
      <c r="A45" s="31" t="str">
        <f>IF(Instructions!$B$1="CZ","Materiál","Material")</f>
        <v>Material</v>
      </c>
      <c r="B45" s="42">
        <f>IF(B20&gt;=50000,B20*B21*0.98,B20*B21)+IF(C20&gt;=50000,C20*C21*0.98,C20*C21)</f>
        <v>0</v>
      </c>
      <c r="C45" s="34"/>
      <c r="D45" s="74"/>
      <c r="E45" s="74"/>
      <c r="F45" s="74"/>
      <c r="G45" s="11"/>
      <c r="H45" s="11"/>
      <c r="I45" s="11"/>
      <c r="J45" s="11"/>
      <c r="K45" s="11"/>
      <c r="L45" s="11"/>
      <c r="M45" s="11"/>
    </row>
    <row r="46" spans="1:13" x14ac:dyDescent="0.25">
      <c r="A46" s="31" t="str">
        <f>IF(Instructions!$B$1="CZ","Výroba","Production")</f>
        <v>Production</v>
      </c>
      <c r="B46" s="42">
        <f>150000*ActualResults!B58/600000+E26</f>
        <v>0</v>
      </c>
      <c r="C46" s="34"/>
      <c r="D46" s="74"/>
      <c r="E46" s="74"/>
      <c r="F46" s="74"/>
      <c r="G46" s="11"/>
      <c r="H46" s="11"/>
      <c r="I46" s="11"/>
      <c r="J46" s="11"/>
      <c r="K46" s="11"/>
      <c r="L46" s="11"/>
      <c r="M46" s="11"/>
    </row>
    <row r="47" spans="1:13" x14ac:dyDescent="0.25">
      <c r="A47" s="31" t="str">
        <f>IF(Instructions!$B$1="CZ","Neuspokojená poptávka","Out-of-stock costs")</f>
        <v>Out-of-stock costs</v>
      </c>
      <c r="B47" s="42">
        <f>IF(AND(B7&gt;B6,B5&lt;1300),(B7-B6)*25,0)+IF(AND(C7&gt;C6,C5&lt;2800),(C7-C6)*50,0)</f>
        <v>98500</v>
      </c>
      <c r="C47" s="34"/>
      <c r="D47" s="74"/>
      <c r="E47" s="74"/>
      <c r="F47" s="74"/>
      <c r="G47" s="11"/>
      <c r="H47" s="11"/>
      <c r="I47" s="11"/>
      <c r="J47" s="11"/>
      <c r="K47" s="11"/>
      <c r="L47" s="11"/>
      <c r="M47" s="11"/>
    </row>
    <row r="48" spans="1:13" x14ac:dyDescent="0.25">
      <c r="A48" s="31" t="str">
        <f>IF(Instructions!$B$1="CZ","Skladování materiálu","Storage costs - raw materials")</f>
        <v>Storage costs - raw materials</v>
      </c>
      <c r="B48" s="42">
        <f>(C23+B23)*0.5</f>
        <v>0</v>
      </c>
      <c r="C48" s="34"/>
      <c r="D48" s="74"/>
      <c r="E48" s="74"/>
      <c r="F48" s="74"/>
      <c r="G48" s="11"/>
      <c r="H48" s="11"/>
      <c r="I48" s="11"/>
      <c r="J48" s="11"/>
      <c r="K48" s="11"/>
      <c r="L48" s="11"/>
      <c r="M48" s="11"/>
    </row>
    <row r="49" spans="1:13" x14ac:dyDescent="0.25">
      <c r="A49" s="31" t="str">
        <f>IF(Instructions!$B$1="CZ","Skladování výrobků","Storage costs - end products")</f>
        <v>Storage costs - end products</v>
      </c>
      <c r="B49" s="42">
        <f>(B15+C15)*10</f>
        <v>0</v>
      </c>
      <c r="C49" s="34"/>
      <c r="D49" s="74"/>
      <c r="E49" s="74"/>
      <c r="F49" s="15"/>
      <c r="G49" s="11"/>
      <c r="H49" s="11"/>
      <c r="I49" s="11"/>
      <c r="J49" s="11"/>
      <c r="K49" s="11"/>
      <c r="L49" s="11"/>
      <c r="M49" s="11"/>
    </row>
    <row r="50" spans="1:13" x14ac:dyDescent="0.25">
      <c r="A50" s="31" t="str">
        <f>IF(Instructions!$B$1="CZ","Daně","Taxes")</f>
        <v>Taxes</v>
      </c>
      <c r="B50" s="42">
        <f>ActualResults!B88</f>
        <v>0</v>
      </c>
      <c r="C50" s="15"/>
      <c r="D50" s="15"/>
      <c r="E50" s="15"/>
      <c r="F50" s="15"/>
      <c r="G50" s="11"/>
      <c r="H50" s="11"/>
      <c r="I50" s="11"/>
      <c r="J50" s="11"/>
      <c r="K50" s="11"/>
      <c r="L50" s="11"/>
      <c r="M50" s="11"/>
    </row>
    <row r="51" spans="1:13" ht="16.5" thickBot="1" x14ac:dyDescent="0.3">
      <c r="A51" s="37" t="str">
        <f>IF(Instructions!$B$1="CZ","Mimořádné výdaje","Extraordinary expenses")</f>
        <v>Extraordinary expenses</v>
      </c>
      <c r="B51" s="349">
        <f>IF(AND(B30&lt;0,Decision!B46&gt;0),-5000*Decision!B46,0)</f>
        <v>0</v>
      </c>
      <c r="C51" s="15"/>
      <c r="D51" s="15"/>
      <c r="E51" s="15"/>
      <c r="F51" s="15"/>
      <c r="G51" s="11"/>
      <c r="H51" s="11"/>
      <c r="I51" s="11"/>
      <c r="J51" s="11"/>
      <c r="K51" s="11"/>
      <c r="L51" s="11"/>
      <c r="M51" s="11"/>
    </row>
    <row r="52" spans="1:13" x14ac:dyDescent="0.25">
      <c r="A52" s="31" t="str">
        <f>IF(Instructions!$B$1="CZ","VÝDAJE CELKEM","TOTAL EXPENSES")</f>
        <v>TOTAL EXPENSES</v>
      </c>
      <c r="B52" s="350">
        <f>B40+B41+B42+B43+B44+B45+B46+B47+B48+B49+B50+B51</f>
        <v>248500</v>
      </c>
      <c r="C52" s="15"/>
      <c r="D52" s="15"/>
      <c r="E52" s="34"/>
      <c r="F52" s="15"/>
      <c r="G52" s="11"/>
      <c r="H52" s="11"/>
      <c r="I52" s="11"/>
      <c r="J52" s="11"/>
      <c r="K52" s="11"/>
      <c r="L52" s="11"/>
      <c r="M52" s="11"/>
    </row>
    <row r="53" spans="1:13" ht="16.5" thickBot="1" x14ac:dyDescent="0.3">
      <c r="A53" s="37" t="str">
        <f>IF(Instructions!$B$1="CZ","KONEČNÝ STAV HOTOVOSTI","CASH BALANCE")</f>
        <v>CASH BALANCE</v>
      </c>
      <c r="B53" s="351">
        <f>B34+B39-B52</f>
        <v>1500</v>
      </c>
      <c r="C53" s="15"/>
      <c r="D53" s="15"/>
      <c r="E53" s="34"/>
      <c r="F53" s="15"/>
      <c r="G53" s="11"/>
      <c r="H53" s="11"/>
      <c r="I53" s="11"/>
      <c r="J53" s="11"/>
      <c r="K53" s="11"/>
      <c r="L53" s="11"/>
      <c r="M53" s="11"/>
    </row>
    <row r="54" spans="1:13" ht="16.5" thickBot="1" x14ac:dyDescent="0.3">
      <c r="A54" s="15"/>
      <c r="B54" s="15"/>
      <c r="C54" s="15"/>
      <c r="D54" s="15"/>
      <c r="E54" s="34"/>
      <c r="F54" s="15"/>
      <c r="G54" s="11"/>
      <c r="H54" s="11"/>
      <c r="I54" s="11"/>
      <c r="J54" s="11"/>
      <c r="K54" s="11"/>
      <c r="L54" s="11"/>
      <c r="M54" s="11"/>
    </row>
    <row r="55" spans="1:13" ht="18.75" x14ac:dyDescent="0.3">
      <c r="A55" s="386" t="str">
        <f>IF(Instructions!$B$1="CZ","ROZVAHA","BALANCE SHEET")</f>
        <v>BALANCE SHEET</v>
      </c>
      <c r="B55" s="387"/>
      <c r="C55" s="387"/>
      <c r="D55" s="387"/>
      <c r="E55" s="388"/>
      <c r="F55" s="15"/>
      <c r="G55" s="11"/>
      <c r="H55" s="11"/>
      <c r="I55" s="11"/>
      <c r="J55" s="11"/>
      <c r="K55" s="11"/>
      <c r="L55" s="11"/>
      <c r="M55" s="11"/>
    </row>
    <row r="56" spans="1:13" x14ac:dyDescent="0.25">
      <c r="A56" s="31" t="str">
        <f>IF(Instructions!$B$1="CZ","Budovy","Buildings")</f>
        <v>Buildings</v>
      </c>
      <c r="B56" s="352">
        <f>ActualResults!B57</f>
        <v>0</v>
      </c>
      <c r="C56" s="32"/>
      <c r="D56" s="32" t="str">
        <f>IF(Instructions!$B$1="CZ","Vlastní kapitál","Equity")</f>
        <v>Equity</v>
      </c>
      <c r="E56" s="354">
        <f>ActualResults!E57+B87+B70-B46+B58-ActualResults!B59+IF(B57&lt;ActualResults!B58,B57-ActualResults!B58,0)</f>
        <v>-248500</v>
      </c>
      <c r="F56" s="15"/>
      <c r="G56" s="11"/>
      <c r="H56" s="11"/>
      <c r="I56" s="11"/>
      <c r="J56" s="11"/>
      <c r="K56" s="11"/>
      <c r="L56" s="11"/>
      <c r="M56" s="11"/>
    </row>
    <row r="57" spans="1:13" x14ac:dyDescent="0.25">
      <c r="A57" s="31" t="str">
        <f>IF(Instructions!$B$1="CZ","Stroje","Machines")</f>
        <v>Machines</v>
      </c>
      <c r="B57" s="352">
        <f>ActualResults!B58+Decision!B35*600000</f>
        <v>0</v>
      </c>
      <c r="C57" s="32"/>
      <c r="D57" s="32" t="str">
        <f>IF(Instructions!$B$1="CZ","Úvěry","Credits")</f>
        <v>Credits</v>
      </c>
      <c r="E57" s="42">
        <f>B36+ActualResults!E58-Decision!B51</f>
        <v>0</v>
      </c>
      <c r="F57" s="15"/>
      <c r="G57" s="11"/>
      <c r="H57" s="11"/>
      <c r="I57" s="11"/>
      <c r="J57" s="11"/>
      <c r="K57" s="11"/>
      <c r="L57" s="11"/>
      <c r="M57" s="11"/>
    </row>
    <row r="58" spans="1:13" x14ac:dyDescent="0.25">
      <c r="A58" s="31" t="str">
        <f>IF(Instructions!$B$1="CZ","Suroviny","Raw materials")</f>
        <v>Raw materials</v>
      </c>
      <c r="B58" s="352">
        <f>Data!F10*C23+B23*Data!F9</f>
        <v>0</v>
      </c>
      <c r="C58" s="32"/>
      <c r="D58" s="32" t="str">
        <f>IF(Instructions!$B$1="CZ","Překlenovací úvěr","Extended credit")</f>
        <v>Extended credit</v>
      </c>
      <c r="E58" s="42">
        <f>B37</f>
        <v>250000</v>
      </c>
      <c r="F58" s="15"/>
    </row>
    <row r="59" spans="1:13" x14ac:dyDescent="0.25">
      <c r="A59" s="31" t="str">
        <f>IF(Instructions!$B$1="CZ","Hotové výrobky","End products")</f>
        <v>End products</v>
      </c>
      <c r="B59" s="352">
        <f>B15*Data!B9+Data!B10*C15</f>
        <v>0</v>
      </c>
      <c r="C59" s="32"/>
      <c r="D59" s="32" t="str">
        <f>IF(Instructions!$B$1="CZ","Daně","Taxes")</f>
        <v>Taxes</v>
      </c>
      <c r="E59" s="42">
        <f>B84</f>
        <v>0</v>
      </c>
      <c r="F59" s="15"/>
    </row>
    <row r="60" spans="1:13" x14ac:dyDescent="0.25">
      <c r="A60" s="31" t="str">
        <f>IF(Instructions!$B$1="CZ","Hotovost","Cash")</f>
        <v>Cash</v>
      </c>
      <c r="B60" s="352">
        <f>B53</f>
        <v>1500</v>
      </c>
      <c r="C60" s="32"/>
      <c r="D60" s="32"/>
      <c r="E60" s="355"/>
      <c r="F60" s="15"/>
    </row>
    <row r="61" spans="1:13" ht="16.5" thickBot="1" x14ac:dyDescent="0.3">
      <c r="A61" s="37" t="str">
        <f>IF(Instructions!$B$1="CZ","CELKEM","TOTAL")</f>
        <v>TOTAL</v>
      </c>
      <c r="B61" s="353">
        <f>B56+B57+B58+B59+B60</f>
        <v>1500</v>
      </c>
      <c r="C61" s="39"/>
      <c r="D61" s="39" t="str">
        <f>IF(Instructions!$B$1="CZ","CELKEM","TOTAL")</f>
        <v>TOTAL</v>
      </c>
      <c r="E61" s="349">
        <f>E56+E57+E58+E59</f>
        <v>1500</v>
      </c>
      <c r="F61" s="15"/>
    </row>
    <row r="62" spans="1:13" x14ac:dyDescent="0.25">
      <c r="A62" s="15"/>
      <c r="B62" s="15"/>
      <c r="C62" s="15"/>
      <c r="D62" s="15"/>
      <c r="E62" s="34"/>
      <c r="F62" s="15"/>
    </row>
    <row r="63" spans="1:13" x14ac:dyDescent="0.25">
      <c r="A63" s="15"/>
      <c r="B63" s="54"/>
      <c r="C63" s="15"/>
      <c r="D63" s="34"/>
      <c r="E63" s="15"/>
      <c r="F63" s="15"/>
    </row>
    <row r="64" spans="1:13" x14ac:dyDescent="0.25">
      <c r="A64" s="15"/>
      <c r="B64" s="15"/>
      <c r="C64" s="15"/>
      <c r="D64" s="15"/>
      <c r="E64" s="15"/>
      <c r="F64" s="15"/>
    </row>
    <row r="65" spans="1:6" x14ac:dyDescent="0.25">
      <c r="A65" s="15"/>
      <c r="B65" s="15"/>
      <c r="C65" s="15"/>
      <c r="D65" s="15"/>
      <c r="E65" s="15"/>
      <c r="F65" s="15"/>
    </row>
    <row r="66" spans="1:6" ht="16.5" thickBot="1" x14ac:dyDescent="0.3">
      <c r="A66" s="15"/>
      <c r="B66" s="15"/>
      <c r="C66" s="15"/>
      <c r="D66" s="15"/>
      <c r="E66" s="15"/>
      <c r="F66" s="15"/>
    </row>
    <row r="67" spans="1:6" ht="19.5" thickBot="1" x14ac:dyDescent="0.35">
      <c r="A67" s="389" t="str">
        <f>IF(Instructions!$B$1="CZ","VÝKAZ ZISKŮ A ZTRÁT","PROFIT AND LOSS ACCOUNT")</f>
        <v>PROFIT AND LOSS ACCOUNT</v>
      </c>
      <c r="B67" s="390"/>
      <c r="C67" s="15"/>
      <c r="D67" s="15"/>
      <c r="E67" s="15"/>
      <c r="F67" s="15"/>
    </row>
    <row r="68" spans="1:6" x14ac:dyDescent="0.25">
      <c r="A68" s="25" t="str">
        <f>IF(Instructions!$B$1="CZ","Tržby","Sales revenues")</f>
        <v>Sales revenues</v>
      </c>
      <c r="B68" s="58">
        <f>B9+C9</f>
        <v>0</v>
      </c>
      <c r="C68" s="15"/>
      <c r="D68" s="15"/>
      <c r="E68" s="11"/>
      <c r="F68" s="15"/>
    </row>
    <row r="69" spans="1:6" x14ac:dyDescent="0.25">
      <c r="A69" s="31" t="str">
        <f>IF(Instructions!$B$1="CZ","Náklady prodaných výrobků","Costs of goods sold")</f>
        <v>Costs of goods sold</v>
      </c>
      <c r="B69" s="33">
        <f>B70+B71+B72</f>
        <v>0</v>
      </c>
      <c r="C69" s="15"/>
      <c r="D69" s="15"/>
      <c r="E69" s="15"/>
      <c r="F69" s="15"/>
    </row>
    <row r="70" spans="1:6" x14ac:dyDescent="0.25">
      <c r="A70" s="31" t="str">
        <f>IF(Instructions!$B$1="CZ","   Suroviny prodaných výrobků","   Raw materials in sold products")</f>
        <v xml:space="preserve">   Raw materials in sold products</v>
      </c>
      <c r="B70" s="33">
        <f>B45-(B23-B19)*Data!F9-Data!F10*(C23-C19)</f>
        <v>0</v>
      </c>
      <c r="C70" s="15"/>
      <c r="D70" s="34"/>
      <c r="E70" s="15"/>
      <c r="F70" s="15"/>
    </row>
    <row r="71" spans="1:6" x14ac:dyDescent="0.25">
      <c r="A71" s="31" t="str">
        <f>IF(Instructions!$B$1="CZ","   Výrobní náklady","   Production costs")</f>
        <v xml:space="preserve">   Production costs</v>
      </c>
      <c r="B71" s="33">
        <f>B46</f>
        <v>0</v>
      </c>
      <c r="C71" s="15"/>
      <c r="D71" s="34"/>
      <c r="E71" s="15"/>
      <c r="F71" s="15"/>
    </row>
    <row r="72" spans="1:6" x14ac:dyDescent="0.25">
      <c r="A72" s="25" t="str">
        <f>IF(Instructions!$B$1="CZ","   Změna stavu zásob výrobků","   Change of stock - end products")</f>
        <v xml:space="preserve">   Change of stock - end products</v>
      </c>
      <c r="B72" s="58">
        <f>(B13-B15)*Data!B9+Data!B10*(C13-C15)</f>
        <v>0</v>
      </c>
      <c r="C72" s="15"/>
      <c r="D72" s="15"/>
      <c r="E72" s="15"/>
      <c r="F72" s="15"/>
    </row>
    <row r="73" spans="1:6" ht="16.5" thickBot="1" x14ac:dyDescent="0.3">
      <c r="A73" s="37" t="str">
        <f>IF(Instructions!$B$1="CZ","Hrubý zisk","Gross result")</f>
        <v>Gross result</v>
      </c>
      <c r="B73" s="44">
        <f>B68-B69</f>
        <v>0</v>
      </c>
      <c r="C73" s="34"/>
      <c r="D73" s="15"/>
      <c r="E73" s="15"/>
      <c r="F73" s="15"/>
    </row>
    <row r="74" spans="1:6" x14ac:dyDescent="0.25">
      <c r="A74" s="31" t="str">
        <f>IF(Instructions!$B$1="CZ","Nepřímé náklady","Indirect costs")</f>
        <v>Indirect costs</v>
      </c>
      <c r="B74" s="33">
        <f>B75+B76+B77+B78+B79</f>
        <v>248500</v>
      </c>
      <c r="C74" s="15"/>
      <c r="D74" s="15"/>
      <c r="E74" s="15"/>
      <c r="F74" s="15"/>
    </row>
    <row r="75" spans="1:6" x14ac:dyDescent="0.25">
      <c r="A75" s="31" t="str">
        <f>IF(Instructions!$B$1="CZ","   Průzkum trhu","   Market survey")</f>
        <v xml:space="preserve">   Market survey</v>
      </c>
      <c r="B75" s="33">
        <f>B42</f>
        <v>0</v>
      </c>
      <c r="C75" s="15"/>
      <c r="D75" s="15"/>
      <c r="E75" s="15"/>
      <c r="F75" s="15"/>
    </row>
    <row r="76" spans="1:6" x14ac:dyDescent="0.25">
      <c r="A76" s="31" t="str">
        <f>IF(Instructions!$B$1="CZ","   Marketingové oddělení","   Sales staff")</f>
        <v xml:space="preserve">   Sales staff</v>
      </c>
      <c r="B76" s="33">
        <v>150000</v>
      </c>
      <c r="C76" s="15"/>
      <c r="D76" s="15"/>
      <c r="E76" s="15"/>
      <c r="F76" s="15"/>
    </row>
    <row r="77" spans="1:6" x14ac:dyDescent="0.25">
      <c r="A77" s="31" t="str">
        <f>IF(Instructions!$B$1="CZ","   Náklady neuspokojené poptávky","   Out-of-stock costs")</f>
        <v xml:space="preserve">   Out-of-stock costs</v>
      </c>
      <c r="B77" s="33">
        <f>B47</f>
        <v>98500</v>
      </c>
      <c r="C77" s="15"/>
      <c r="D77" s="15"/>
      <c r="E77" s="15"/>
      <c r="F77" s="15"/>
    </row>
    <row r="78" spans="1:6" x14ac:dyDescent="0.25">
      <c r="A78" s="31" t="str">
        <f>IF(Instructions!$B$1="CZ","   Skladovací náklady - suroviny","   Storage costs - raw materials")</f>
        <v xml:space="preserve">   Storage costs - raw materials</v>
      </c>
      <c r="B78" s="33">
        <f>B48</f>
        <v>0</v>
      </c>
      <c r="C78" s="15"/>
      <c r="D78" s="15"/>
      <c r="E78" s="15"/>
      <c r="F78" s="15"/>
    </row>
    <row r="79" spans="1:6" x14ac:dyDescent="0.25">
      <c r="A79" s="25" t="str">
        <f>IF(Instructions!$B$1="CZ","   Skladovací náklady - výrobky","   Storage costs - end products")</f>
        <v xml:space="preserve">   Storage costs - end products</v>
      </c>
      <c r="B79" s="58">
        <f>B49</f>
        <v>0</v>
      </c>
      <c r="C79" s="15"/>
      <c r="D79" s="15"/>
      <c r="E79" s="15"/>
      <c r="F79" s="15"/>
    </row>
    <row r="80" spans="1:6" ht="16.5" thickBot="1" x14ac:dyDescent="0.3">
      <c r="A80" s="31" t="str">
        <f>IF(Instructions!$B$1="CZ","Provozní zisk","Operating result")</f>
        <v>Operating result</v>
      </c>
      <c r="B80" s="33">
        <f>B73-B74</f>
        <v>-248500</v>
      </c>
      <c r="C80" s="15"/>
      <c r="D80" s="15"/>
      <c r="E80" s="15"/>
      <c r="F80" s="15"/>
    </row>
    <row r="81" spans="1:9" x14ac:dyDescent="0.25">
      <c r="A81" s="43" t="str">
        <f>IF(Instructions!$B$1="CZ","Zaplacené úroky","Capital costs")</f>
        <v>Capital costs</v>
      </c>
      <c r="B81" s="45">
        <f>B43</f>
        <v>0</v>
      </c>
      <c r="C81" s="15"/>
      <c r="D81" s="15"/>
      <c r="E81" s="15"/>
      <c r="F81" s="15"/>
    </row>
    <row r="82" spans="1:9" x14ac:dyDescent="0.25">
      <c r="A82" s="31" t="str">
        <f>IF(Instructions!$B$1="CZ","Mimořádné výdaje","Extraordinary expenses")</f>
        <v>Extraordinary expenses</v>
      </c>
      <c r="B82" s="33">
        <f>B51</f>
        <v>0</v>
      </c>
      <c r="C82" s="74"/>
      <c r="D82" s="74"/>
      <c r="E82" s="74"/>
      <c r="F82" s="74"/>
    </row>
    <row r="83" spans="1:9" x14ac:dyDescent="0.25">
      <c r="A83" s="31" t="str">
        <f>IF(Instructions!$B$1="CZ","Zisk z provozní činnosti před zdaněním","Normal operating result before tax")</f>
        <v>Normal operating result before tax</v>
      </c>
      <c r="B83" s="33">
        <f>B80-B81</f>
        <v>-248500</v>
      </c>
      <c r="C83" s="63"/>
      <c r="D83" s="15"/>
      <c r="E83" s="15"/>
      <c r="F83" s="15"/>
    </row>
    <row r="84" spans="1:9" x14ac:dyDescent="0.25">
      <c r="A84" s="31" t="str">
        <f>IF(Instructions!$B$1="CZ","Daně","Taxes")</f>
        <v>Taxes</v>
      </c>
      <c r="B84" s="33">
        <f>IF(MOD(E3,4)&lt;&gt;0,0,IF(SUM(H12:J12)+B83&lt;0,0,0.4*(H12+I12+J12+B83)))</f>
        <v>0</v>
      </c>
      <c r="C84" s="63"/>
      <c r="D84" s="15"/>
      <c r="E84" s="15"/>
      <c r="F84" s="15"/>
    </row>
    <row r="85" spans="1:9" x14ac:dyDescent="0.25">
      <c r="A85" s="25" t="str">
        <f>IF(Instructions!$B$1="CZ","Zisk z provozní činnosti po zdanění","Normal operating result after tax")</f>
        <v>Normal operating result after tax</v>
      </c>
      <c r="B85" s="58">
        <f>B83-B84</f>
        <v>-248500</v>
      </c>
      <c r="C85" s="15"/>
      <c r="D85" s="15"/>
      <c r="E85" s="15"/>
      <c r="F85" s="15"/>
    </row>
    <row r="86" spans="1:9" x14ac:dyDescent="0.25">
      <c r="A86" s="31" t="str">
        <f>IF(Instructions!$B$1="CZ","Mimořádné příjmy","Extraordinary revenues")</f>
        <v>Extraordinary revenues</v>
      </c>
      <c r="B86" s="33">
        <f>B38</f>
        <v>0</v>
      </c>
      <c r="C86" s="15"/>
      <c r="D86" s="15"/>
      <c r="E86" s="15"/>
      <c r="F86" s="15"/>
    </row>
    <row r="87" spans="1:9" ht="16.5" thickBot="1" x14ac:dyDescent="0.3">
      <c r="A87" s="37" t="str">
        <f>IF(Instructions!$B$1="CZ","Celkový čistý zisk","Net result")</f>
        <v>Net result</v>
      </c>
      <c r="B87" s="44">
        <f>B85+B86</f>
        <v>-248500</v>
      </c>
      <c r="C87" s="15"/>
      <c r="D87" s="15"/>
      <c r="E87" s="15"/>
      <c r="F87" s="15"/>
    </row>
    <row r="88" spans="1:9" x14ac:dyDescent="0.25">
      <c r="A88" s="74"/>
      <c r="B88" s="74"/>
      <c r="C88" s="15"/>
      <c r="D88" s="15"/>
      <c r="E88" s="15"/>
      <c r="F88" s="74"/>
    </row>
    <row r="89" spans="1:9" x14ac:dyDescent="0.25">
      <c r="A89" s="11"/>
      <c r="B89" s="11"/>
      <c r="C89" s="74"/>
      <c r="D89" s="74"/>
      <c r="E89" s="74"/>
      <c r="F89" s="11"/>
      <c r="H89" s="11"/>
      <c r="I89" s="11"/>
    </row>
    <row r="90" spans="1:9" x14ac:dyDescent="0.25">
      <c r="A90" s="11"/>
      <c r="B90" s="11"/>
      <c r="C90" s="11"/>
      <c r="D90" s="11"/>
      <c r="E90" s="11"/>
      <c r="F90" s="11"/>
    </row>
    <row r="91" spans="1:9" x14ac:dyDescent="0.25">
      <c r="A91" s="11"/>
      <c r="B91" s="11"/>
      <c r="C91" s="11"/>
      <c r="D91" s="11"/>
      <c r="E91" s="11"/>
      <c r="F91" s="11"/>
    </row>
    <row r="92" spans="1:9" x14ac:dyDescent="0.25">
      <c r="C92" s="11"/>
      <c r="D92" s="11"/>
      <c r="E92" s="11"/>
    </row>
  </sheetData>
  <mergeCells count="12">
    <mergeCell ref="A1:E1"/>
    <mergeCell ref="G1:L1"/>
    <mergeCell ref="A25:E25"/>
    <mergeCell ref="A55:E55"/>
    <mergeCell ref="A67:B67"/>
    <mergeCell ref="A33:B33"/>
    <mergeCell ref="A3:C3"/>
    <mergeCell ref="A11:C11"/>
    <mergeCell ref="A17:C17"/>
    <mergeCell ref="D6:E6"/>
    <mergeCell ref="D11:E11"/>
    <mergeCell ref="D7:E7"/>
  </mergeCells>
  <phoneticPr fontId="0" type="noConversion"/>
  <conditionalFormatting sqref="B23:C23">
    <cfRule type="cellIs" dxfId="0" priority="1" stopIfTrue="1" operator="lessThan">
      <formula>0</formula>
    </cfRule>
  </conditionalFormatting>
  <pageMargins left="0.78740157499999996" right="0.78740157499999996" top="0.984251969" bottom="0.984251969" header="0.4921259845" footer="0.4921259845"/>
  <pageSetup paperSize="9" scale="85" orientation="portrait" horizontalDpi="300" verticalDpi="300" r:id="rId1"/>
  <headerFooter alignWithMargins="0">
    <oddHeader>&amp;R5. ČTVRTLETÍ</oddHeader>
    <oddFooter>Stránka &amp;P</oddFooter>
  </headerFooter>
  <rowBreaks count="1" manualBreakCount="1">
    <brk id="55"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2"/>
  <sheetViews>
    <sheetView workbookViewId="0">
      <selection activeCell="B3" sqref="B3"/>
    </sheetView>
  </sheetViews>
  <sheetFormatPr defaultColWidth="8.875" defaultRowHeight="15.75" x14ac:dyDescent="0.25"/>
  <cols>
    <col min="1" max="1" width="18.875" style="74" customWidth="1"/>
    <col min="2" max="2" width="12.875" style="74" customWidth="1"/>
    <col min="3" max="4" width="10.125" style="74" customWidth="1"/>
    <col min="5" max="5" width="12.875" style="74" customWidth="1"/>
    <col min="6" max="6" width="12.75" style="74" bestFit="1" customWidth="1"/>
    <col min="7" max="9" width="10.125" style="74" customWidth="1"/>
    <col min="10" max="16384" width="8.875" style="74"/>
  </cols>
  <sheetData>
    <row r="1" spans="1:7" x14ac:dyDescent="0.25">
      <c r="A1" s="398" t="str">
        <f>IF(Instructions!B1="CZ","Prodejní ceny (Kč za kus)","Sales prices [CZK per piece]")</f>
        <v>Sales prices [CZK per piece]</v>
      </c>
      <c r="B1" s="399"/>
      <c r="C1" s="400"/>
      <c r="E1" s="401" t="str">
        <f>IF(Instructions!B1="CZ","Skladovací náklady","Storage costs")</f>
        <v>Storage costs</v>
      </c>
      <c r="F1" s="403"/>
    </row>
    <row r="2" spans="1:7" s="282" customFormat="1" ht="16.5" thickBot="1" x14ac:dyDescent="0.3">
      <c r="A2" s="283" t="str">
        <f>IF(Instructions!B1="CZ","Produkt/Cena","Product/Price")</f>
        <v>Product/Price</v>
      </c>
      <c r="B2" s="284" t="str">
        <f>IF(Instructions!B1="CZ","Minimální","Minimal")</f>
        <v>Minimal</v>
      </c>
      <c r="C2" s="285" t="str">
        <f>IF(Instructions!B1="CZ","Maximální","Maximal")</f>
        <v>Maximal</v>
      </c>
      <c r="E2" s="295" t="str">
        <f>IF(Instructions!B1="CZ","Položka","Item")</f>
        <v>Item</v>
      </c>
      <c r="F2" s="296" t="str">
        <f>IF(Instructions!B1="CZ","Kč za ks/kg","CZK per pc/kg")</f>
        <v>CZK per pc/kg</v>
      </c>
    </row>
    <row r="3" spans="1:7" x14ac:dyDescent="0.25">
      <c r="A3" s="286" t="str">
        <f>IF(Instructions!B1="CZ","Stoly","Desks")</f>
        <v>Desks</v>
      </c>
      <c r="B3" s="287">
        <v>1100</v>
      </c>
      <c r="C3" s="288">
        <v>1300</v>
      </c>
      <c r="E3" s="297" t="str">
        <f>IF(Instructions!B1="CZ","Produkty","Products")</f>
        <v>Products</v>
      </c>
      <c r="F3" s="298">
        <v>10</v>
      </c>
    </row>
    <row r="4" spans="1:7" ht="16.5" thickBot="1" x14ac:dyDescent="0.3">
      <c r="A4" s="26" t="str">
        <f>IF(Instructions!B1="CZ","Skříňky","Cabinets")</f>
        <v>Cabinets</v>
      </c>
      <c r="B4" s="289">
        <v>2000</v>
      </c>
      <c r="C4" s="290">
        <v>2800</v>
      </c>
      <c r="E4" s="359" t="str">
        <f>IF(Instructions!B1="CZ","Suroviny","Raw materials")</f>
        <v>Raw materials</v>
      </c>
      <c r="F4" s="290">
        <v>0.5</v>
      </c>
    </row>
    <row r="6" spans="1:7" ht="16.5" thickBot="1" x14ac:dyDescent="0.3"/>
    <row r="7" spans="1:7" ht="16.5" thickBot="1" x14ac:dyDescent="0.3">
      <c r="A7" s="413" t="str">
        <f>IF(Instructions!B1="CZ","Fixní ceny","Fixed prices")</f>
        <v>Fixed prices</v>
      </c>
      <c r="B7" s="414"/>
      <c r="C7" s="291"/>
      <c r="E7" s="401" t="str">
        <f>IF(Instructions!B1="CZ","Fixní ceny","Fixed prices")</f>
        <v>Fixed prices</v>
      </c>
      <c r="F7" s="403"/>
    </row>
    <row r="8" spans="1:7" ht="16.5" thickBot="1" x14ac:dyDescent="0.3">
      <c r="A8" s="292" t="str">
        <f>IF(Instructions!B1="CZ","Produkt","Product")</f>
        <v>Product</v>
      </c>
      <c r="B8" s="293" t="str">
        <f>IF(Instructions!B1="CZ","Kč za ks","CZK per piece")</f>
        <v>CZK per piece</v>
      </c>
      <c r="C8" s="294"/>
      <c r="E8" s="295" t="str">
        <f>IF(Instructions!B1="CZ","Surovina","Raw material")</f>
        <v>Raw material</v>
      </c>
      <c r="F8" s="296" t="str">
        <f>IF(Instructions!B1="CZ","Kč za kg","CZK per kg")</f>
        <v>CZK per kg</v>
      </c>
    </row>
    <row r="9" spans="1:7" x14ac:dyDescent="0.25">
      <c r="A9" s="286" t="str">
        <f>IF(Instructions!B1="CZ","Stoly","Desks")</f>
        <v>Desks</v>
      </c>
      <c r="B9" s="288">
        <f>(C3+B3)/2</f>
        <v>1200</v>
      </c>
      <c r="C9" s="32"/>
      <c r="E9" s="297" t="str">
        <f>IF(Instructions!B1="CZ","Dřevo","Wood")</f>
        <v>Wood</v>
      </c>
      <c r="F9" s="298">
        <v>24</v>
      </c>
    </row>
    <row r="10" spans="1:7" ht="16.5" thickBot="1" x14ac:dyDescent="0.3">
      <c r="A10" s="26" t="str">
        <f>IF(Instructions!B1="CZ","Skříňky","Cabinets")</f>
        <v>Cabinets</v>
      </c>
      <c r="B10" s="290">
        <f>(C4+B4)/2</f>
        <v>2400</v>
      </c>
      <c r="C10" s="32"/>
      <c r="E10" s="26" t="str">
        <f>IF(Instructions!B1="CZ","Kov","Metal")</f>
        <v>Metal</v>
      </c>
      <c r="F10" s="290">
        <v>15</v>
      </c>
    </row>
    <row r="12" spans="1:7" ht="16.5" thickBot="1" x14ac:dyDescent="0.3"/>
    <row r="13" spans="1:7" x14ac:dyDescent="0.25">
      <c r="A13" s="401" t="str">
        <f>IF(Instructions!B1="CZ","Časové rozvržení aktivit","Time schedule of activities")</f>
        <v>Time schedule of activities</v>
      </c>
      <c r="B13" s="402"/>
      <c r="C13" s="403"/>
      <c r="E13" s="401" t="str">
        <f>IF(Instructions!B1="CZ","Potřeba vstupních surovin (kg)","Need of raw materials [kg]")</f>
        <v>Need of raw materials [kg]</v>
      </c>
      <c r="F13" s="402"/>
      <c r="G13" s="403"/>
    </row>
    <row r="14" spans="1:7" ht="16.5" thickBot="1" x14ac:dyDescent="0.3">
      <c r="A14" s="283" t="str">
        <f>IF(Instructions!B1="CZ","Čtvrtletí","Quarter")</f>
        <v>Quarter</v>
      </c>
      <c r="B14" s="284" t="s">
        <v>5</v>
      </c>
      <c r="C14" s="285" t="s">
        <v>6</v>
      </c>
      <c r="E14" s="295" t="str">
        <f>IF(Instructions!B1="CZ","Sur./Prod.","Mat./Prod.")</f>
        <v>Mat./Prod.</v>
      </c>
      <c r="F14" s="299" t="str">
        <f>IF(Instructions!B1="CZ","Stoly","Desks")</f>
        <v>Desks</v>
      </c>
      <c r="G14" s="296" t="str">
        <f>IF(Instructions!B1="CZ","Skříňky","Cabinets")</f>
        <v>Cabinets</v>
      </c>
    </row>
    <row r="15" spans="1:7" ht="15.75" customHeight="1" x14ac:dyDescent="0.25">
      <c r="A15" s="415" t="str">
        <f>IF(Instructions!B1="CZ","Aktivita","Activity")</f>
        <v>Activity</v>
      </c>
      <c r="B15" s="409" t="str">
        <f>IF(Instructions!B1="CZ","plánování a výroba","planning and production")</f>
        <v>planning and production</v>
      </c>
      <c r="C15" s="411" t="str">
        <f>IF(Instructions!B1="CZ","prodej","sales")</f>
        <v>sales</v>
      </c>
      <c r="E15" s="297" t="str">
        <f>IF(Instructions!B1="CZ","Dřevo","Wood")</f>
        <v>Wood</v>
      </c>
      <c r="F15" s="300">
        <v>12</v>
      </c>
      <c r="G15" s="298">
        <v>24</v>
      </c>
    </row>
    <row r="16" spans="1:7" ht="16.5" thickBot="1" x14ac:dyDescent="0.3">
      <c r="A16" s="416"/>
      <c r="B16" s="410"/>
      <c r="C16" s="412"/>
      <c r="E16" s="26" t="str">
        <f>IF(Instructions!B1="CZ","Kov","Metal")</f>
        <v>Metal</v>
      </c>
      <c r="F16" s="289">
        <v>8</v>
      </c>
      <c r="G16" s="290">
        <v>16</v>
      </c>
    </row>
    <row r="17" spans="1:10" x14ac:dyDescent="0.25">
      <c r="A17" s="301"/>
      <c r="B17" s="302"/>
      <c r="C17" s="303"/>
      <c r="F17" s="74">
        <f>F15*F9+F16*F10</f>
        <v>408</v>
      </c>
      <c r="G17" s="74">
        <f>G15*F9+G16*F10</f>
        <v>816</v>
      </c>
    </row>
    <row r="18" spans="1:10" ht="16.5" thickBot="1" x14ac:dyDescent="0.3">
      <c r="F18" s="74">
        <f>6*40000</f>
        <v>240000</v>
      </c>
      <c r="G18" s="74">
        <f>12*40000</f>
        <v>480000</v>
      </c>
    </row>
    <row r="19" spans="1:10" ht="16.5" thickBot="1" x14ac:dyDescent="0.3">
      <c r="A19" s="417" t="str">
        <f>IF(Instructions!B1="CZ","Doba výroby, výrobní dávky a  potřeba pracovníků na 1 stroj","Production time, batches, and need of workers")</f>
        <v>Production time, batches, and need of workers</v>
      </c>
      <c r="B19" s="418"/>
      <c r="C19" s="418"/>
      <c r="D19" s="418"/>
      <c r="E19" s="419"/>
      <c r="F19" s="74">
        <f>1100*1500-F18-F17</f>
        <v>1409592</v>
      </c>
      <c r="G19" s="74">
        <f>2800*400-G18-G17</f>
        <v>639184</v>
      </c>
      <c r="H19" s="74">
        <f>F19-G19</f>
        <v>770408</v>
      </c>
    </row>
    <row r="20" spans="1:10" x14ac:dyDescent="0.25">
      <c r="A20" s="304"/>
      <c r="B20" s="407" t="str">
        <f>IF(Instructions!B1="CZ","Stoly","Desks")</f>
        <v>Desks</v>
      </c>
      <c r="C20" s="408"/>
      <c r="D20" s="407" t="str">
        <f>IF(Instructions!B1="CZ","Skříňky","Cabinets")</f>
        <v>Cabinets</v>
      </c>
      <c r="E20" s="408"/>
    </row>
    <row r="21" spans="1:10" s="282" customFormat="1" ht="32.25" thickBot="1" x14ac:dyDescent="0.3">
      <c r="A21" s="305" t="str">
        <f>IF(Instructions!B1="CZ","Strojový čas (hod.)","Machine hours")</f>
        <v>Machine hours</v>
      </c>
      <c r="B21" s="306" t="str">
        <f>IF(Instructions!B1="CZ","Výroba (ks)","Production (pcs)")</f>
        <v>Production (pcs)</v>
      </c>
      <c r="C21" s="307" t="str">
        <f>IF(Instructions!B1="CZ","Potřeba pracovníků","Need of workers")</f>
        <v>Need of workers</v>
      </c>
      <c r="D21" s="306" t="str">
        <f>IF(Instructions!B1="CZ","Výroba (ks)","Production (pcs)")</f>
        <v>Production (pcs)</v>
      </c>
      <c r="E21" s="307" t="str">
        <f>IF(Instructions!B1="CZ","Potřeba pracovníků","Need of workers")</f>
        <v>Need of workers</v>
      </c>
    </row>
    <row r="22" spans="1:10" x14ac:dyDescent="0.25">
      <c r="A22" s="308">
        <v>0</v>
      </c>
      <c r="B22" s="286">
        <v>0</v>
      </c>
      <c r="C22" s="288">
        <v>0</v>
      </c>
      <c r="D22" s="286">
        <v>0</v>
      </c>
      <c r="E22" s="288">
        <v>0</v>
      </c>
    </row>
    <row r="23" spans="1:10" x14ac:dyDescent="0.25">
      <c r="A23" s="309">
        <v>250</v>
      </c>
      <c r="B23" s="22">
        <v>125</v>
      </c>
      <c r="C23" s="310">
        <v>1</v>
      </c>
      <c r="D23" s="22">
        <v>25</v>
      </c>
      <c r="E23" s="310">
        <v>2</v>
      </c>
    </row>
    <row r="24" spans="1:10" x14ac:dyDescent="0.25">
      <c r="A24" s="309">
        <v>500</v>
      </c>
      <c r="B24" s="22">
        <v>400</v>
      </c>
      <c r="C24" s="310">
        <v>2</v>
      </c>
      <c r="D24" s="22">
        <v>75</v>
      </c>
      <c r="E24" s="310">
        <v>4</v>
      </c>
    </row>
    <row r="25" spans="1:10" x14ac:dyDescent="0.25">
      <c r="A25" s="309">
        <v>750</v>
      </c>
      <c r="B25" s="22">
        <v>675</v>
      </c>
      <c r="C25" s="310">
        <v>3</v>
      </c>
      <c r="D25" s="22">
        <v>125</v>
      </c>
      <c r="E25" s="310">
        <v>6</v>
      </c>
    </row>
    <row r="26" spans="1:10" x14ac:dyDescent="0.25">
      <c r="A26" s="309">
        <v>1000</v>
      </c>
      <c r="B26" s="22">
        <v>950</v>
      </c>
      <c r="C26" s="310">
        <v>4</v>
      </c>
      <c r="D26" s="22">
        <v>200</v>
      </c>
      <c r="E26" s="310">
        <v>8</v>
      </c>
    </row>
    <row r="27" spans="1:10" x14ac:dyDescent="0.25">
      <c r="A27" s="309">
        <v>1250</v>
      </c>
      <c r="B27" s="22">
        <v>1225</v>
      </c>
      <c r="C27" s="310">
        <v>5</v>
      </c>
      <c r="D27" s="22">
        <v>275</v>
      </c>
      <c r="E27" s="310">
        <v>10</v>
      </c>
    </row>
    <row r="28" spans="1:10" ht="16.5" thickBot="1" x14ac:dyDescent="0.3">
      <c r="A28" s="311">
        <v>1500</v>
      </c>
      <c r="B28" s="26">
        <v>1500</v>
      </c>
      <c r="C28" s="290">
        <v>6</v>
      </c>
      <c r="D28" s="26">
        <v>400</v>
      </c>
      <c r="E28" s="290">
        <v>12</v>
      </c>
    </row>
    <row r="30" spans="1:10" ht="16.5" thickBot="1" x14ac:dyDescent="0.3"/>
    <row r="31" spans="1:10" ht="16.5" thickBot="1" x14ac:dyDescent="0.3">
      <c r="A31" s="404" t="str">
        <f>IF(Instructions!B1="CZ","Vliv personálního indexu (PI) na absenci","Influence of the Personnel index (PI) on sick-leave")</f>
        <v>Influence of the Personnel index (PI) on sick-leave</v>
      </c>
      <c r="B31" s="405"/>
      <c r="C31" s="405"/>
      <c r="D31" s="405"/>
      <c r="E31" s="406"/>
      <c r="I31" s="74" t="str">
        <f>IF(Instructions!B1="CZ","Mzda při MI=100","Wage if MI=100")</f>
        <v>Wage if MI=100</v>
      </c>
    </row>
    <row r="32" spans="1:10" x14ac:dyDescent="0.25">
      <c r="A32" s="286" t="str">
        <f>IF(Instructions!B1="CZ","Personální index","Personnel index")</f>
        <v>Personnel index</v>
      </c>
      <c r="B32" s="287" t="s">
        <v>0</v>
      </c>
      <c r="C32" s="287" t="s">
        <v>1</v>
      </c>
      <c r="D32" s="287" t="s">
        <v>2</v>
      </c>
      <c r="E32" s="288" t="s">
        <v>3</v>
      </c>
      <c r="I32" s="34">
        <v>48000</v>
      </c>
      <c r="J32" s="74" t="str">
        <f>IF(Instructions!B1="CZ","Kč na čtvrtletí","CZK per quarter")</f>
        <v>CZK per quarter</v>
      </c>
    </row>
    <row r="33" spans="1:6" ht="16.5" thickBot="1" x14ac:dyDescent="0.3">
      <c r="A33" s="26" t="str">
        <f>IF(Instructions!B1="CZ","Absence (%)","Sick-leave (%)")</f>
        <v>Sick-leave (%)</v>
      </c>
      <c r="B33" s="289">
        <v>25</v>
      </c>
      <c r="C33" s="289">
        <v>15</v>
      </c>
      <c r="D33" s="289">
        <v>5</v>
      </c>
      <c r="E33" s="290">
        <v>0</v>
      </c>
    </row>
    <row r="35" spans="1:6" ht="16.5" thickBot="1" x14ac:dyDescent="0.3"/>
    <row r="36" spans="1:6" ht="16.5" thickBot="1" x14ac:dyDescent="0.3">
      <c r="A36" s="404" t="str">
        <f>IF(Instructions!B1="CZ","Ceny průzkumů trhu","Prices of market surveys")</f>
        <v>Prices of market surveys</v>
      </c>
      <c r="B36" s="405"/>
      <c r="C36" s="405"/>
      <c r="D36" s="405"/>
      <c r="E36" s="405"/>
      <c r="F36" s="312" t="str">
        <f>IF(Instructions!B1="CZ","Cena (Kč)","Price [CZK]")</f>
        <v>Price [CZK]</v>
      </c>
    </row>
    <row r="37" spans="1:6" x14ac:dyDescent="0.25">
      <c r="A37" s="424" t="str">
        <f>IF(Instructions!B1="CZ","Tržní potenciál pro výrobek a čtvrtletí","Market potential for one product and one quarter")</f>
        <v>Market potential for one product and one quarter</v>
      </c>
      <c r="B37" s="425"/>
      <c r="C37" s="425"/>
      <c r="D37" s="425"/>
      <c r="E37" s="425"/>
      <c r="F37" s="313">
        <v>25000</v>
      </c>
    </row>
    <row r="38" spans="1:6" x14ac:dyDescent="0.25">
      <c r="A38" s="422" t="str">
        <f>IF(Instructions!B1="CZ","Ceny konkurentů v aktuálním kole","Prices of competitors in the current quarter")</f>
        <v>Prices of competitors in the current quarter</v>
      </c>
      <c r="B38" s="423"/>
      <c r="C38" s="423"/>
      <c r="D38" s="423"/>
      <c r="E38" s="423"/>
      <c r="F38" s="24">
        <v>5000</v>
      </c>
    </row>
    <row r="39" spans="1:6" x14ac:dyDescent="0.25">
      <c r="A39" s="422" t="str">
        <f>IF(Instructions!B1="CZ","Prodej konkurentů v aktuálním kole","Sales of competitors in the recent quarter")</f>
        <v>Sales of competitors in the recent quarter</v>
      </c>
      <c r="B39" s="423"/>
      <c r="C39" s="423"/>
      <c r="D39" s="423"/>
      <c r="E39" s="423"/>
      <c r="F39" s="24">
        <v>20000</v>
      </c>
    </row>
    <row r="40" spans="1:6" ht="16.5" thickBot="1" x14ac:dyDescent="0.3">
      <c r="A40" s="420" t="str">
        <f>IF(Instructions!B1="CZ","Nákupní ceny surovin v dalších čtvrtletích (n+1), (n+2), (n+3) a/nebo (n+4)","Prices of raw materials in quarters (n+1), (n+2), (n+3) and/or (n+4)")</f>
        <v>Prices of raw materials in quarters (n+1), (n+2), (n+3) and/or (n+4)</v>
      </c>
      <c r="B40" s="421"/>
      <c r="C40" s="421"/>
      <c r="D40" s="421"/>
      <c r="E40" s="421"/>
      <c r="F40" s="28">
        <v>10000</v>
      </c>
    </row>
    <row r="42" spans="1:6" x14ac:dyDescent="0.25">
      <c r="A42" s="74" t="str">
        <f>IF(Instructions!B1="CZ","Počet firem na jednom trhu","Firms in one market")</f>
        <v>Firms in one market</v>
      </c>
      <c r="B42" s="74">
        <v>5</v>
      </c>
    </row>
  </sheetData>
  <mergeCells count="18">
    <mergeCell ref="A36:E36"/>
    <mergeCell ref="A15:A16"/>
    <mergeCell ref="A19:E19"/>
    <mergeCell ref="A40:E40"/>
    <mergeCell ref="A39:E39"/>
    <mergeCell ref="A38:E38"/>
    <mergeCell ref="A37:E37"/>
    <mergeCell ref="A1:C1"/>
    <mergeCell ref="E13:G13"/>
    <mergeCell ref="A31:E31"/>
    <mergeCell ref="B20:C20"/>
    <mergeCell ref="D20:E20"/>
    <mergeCell ref="A13:C13"/>
    <mergeCell ref="B15:B16"/>
    <mergeCell ref="C15:C16"/>
    <mergeCell ref="E7:F7"/>
    <mergeCell ref="A7:B7"/>
    <mergeCell ref="E1:F1"/>
  </mergeCells>
  <phoneticPr fontId="0" type="noConversion"/>
  <printOptions horizontalCentered="1" verticalCentered="1"/>
  <pageMargins left="0.78740157480314965" right="0.78740157480314965" top="1.42" bottom="0.69" header="0.51181102362204722" footer="0.51181102362204722"/>
  <pageSetup paperSize="9" scale="90" orientation="portrait" horizontalDpi="300" verticalDpi="300" r:id="rId1"/>
  <headerFooter alignWithMargins="0">
    <oddHeader>&amp;C&amp;"Times New Roman CE,tučné"&amp;24VÝROBA NÁBYTKU
Základní údaje o simulaci</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3"/>
  <sheetViews>
    <sheetView workbookViewId="0">
      <selection sqref="A1:E1"/>
    </sheetView>
  </sheetViews>
  <sheetFormatPr defaultColWidth="8.875" defaultRowHeight="15.75" x14ac:dyDescent="0.25"/>
  <cols>
    <col min="1" max="1" width="37.125" bestFit="1" customWidth="1"/>
    <col min="2" max="2" width="10.125" customWidth="1"/>
    <col min="3" max="3" width="12.625" bestFit="1" customWidth="1"/>
    <col min="4" max="4" width="25" bestFit="1" customWidth="1"/>
    <col min="5" max="5" width="10.125" customWidth="1"/>
    <col min="7" max="7" width="38.125" bestFit="1" customWidth="1"/>
    <col min="8" max="8" width="10.625" customWidth="1"/>
    <col min="9" max="9" width="13.375" bestFit="1" customWidth="1"/>
    <col min="10" max="12" width="10.625" customWidth="1"/>
  </cols>
  <sheetData>
    <row r="1" spans="1:13" ht="18.75" x14ac:dyDescent="0.3">
      <c r="A1" s="370" t="str">
        <f>IF(Instructions!$B$1="CZ",CONCATENATE("FINANČNÍ VÝSLEDKY FIRMY ",Instructions!$B$5),CONCATENATE("FINANCIAL RESULTS FOR COMPANY ",Instructions!$B$5))</f>
        <v>FINANCIAL RESULTS FOR COMPANY Firm</v>
      </c>
      <c r="B1" s="370"/>
      <c r="C1" s="370"/>
      <c r="D1" s="370"/>
      <c r="E1" s="370"/>
      <c r="F1" s="11"/>
      <c r="G1" s="370" t="str">
        <f>IF(Instructions!$B$1="CZ",CONCATENATE("ROČNÍ SOUHRN FIRMY ",Instructions!$B$5),CONCATENATE("FOUR-QUARTER SURVEY FOR COMPANY ",Instructions!$B$5))</f>
        <v>FOUR-QUARTER SURVEY FOR COMPANY Firm</v>
      </c>
      <c r="H1" s="370"/>
      <c r="I1" s="370"/>
      <c r="J1" s="370"/>
      <c r="K1" s="370"/>
      <c r="L1" s="370"/>
      <c r="M1" s="11"/>
    </row>
    <row r="2" spans="1:13" ht="16.5" thickBot="1" x14ac:dyDescent="0.3">
      <c r="A2" s="11"/>
      <c r="B2" s="11"/>
      <c r="C2" s="11"/>
      <c r="D2" s="11"/>
      <c r="E2" s="11"/>
      <c r="F2" s="11"/>
      <c r="G2" s="11"/>
      <c r="H2" s="11"/>
      <c r="I2" s="11"/>
      <c r="J2" s="11"/>
      <c r="K2" s="11"/>
      <c r="L2" s="11"/>
      <c r="M2" s="11"/>
    </row>
    <row r="3" spans="1:13" ht="19.5" thickBot="1" x14ac:dyDescent="0.35">
      <c r="A3" s="373" t="str">
        <f>IF(Instructions!$B$1="CZ","MARKETING A PRODEJ","MARKETING AND SALES")</f>
        <v>MARKETING AND SALES</v>
      </c>
      <c r="B3" s="374"/>
      <c r="C3" s="375"/>
      <c r="D3" s="270" t="str">
        <f>IF(Instructions!$B$1="CZ","Čtvrtletí:","Quarter: ")</f>
        <v xml:space="preserve">Quarter: </v>
      </c>
      <c r="E3" s="280">
        <v>3</v>
      </c>
      <c r="F3" s="11"/>
      <c r="G3" s="252" t="str">
        <f>IF(Instructions!$B$1="CZ","ČTVRTLETÍ","QUARTER")</f>
        <v>QUARTER</v>
      </c>
      <c r="H3" s="157" t="s">
        <v>15</v>
      </c>
      <c r="I3" s="158" t="s">
        <v>16</v>
      </c>
      <c r="J3" s="158" t="s">
        <v>11</v>
      </c>
      <c r="K3" s="159" t="s">
        <v>12</v>
      </c>
      <c r="L3" s="156" t="str">
        <f>IF(Instructions!$B$1="CZ","CELKEM","TOTAL")</f>
        <v>TOTAL</v>
      </c>
      <c r="M3" s="11"/>
    </row>
    <row r="4" spans="1:13" x14ac:dyDescent="0.25">
      <c r="A4" s="133" t="str">
        <f>IF(Instructions!$B$1="CZ","PRODUKT","PRODUCT")</f>
        <v>PRODUCT</v>
      </c>
      <c r="B4" s="134" t="str">
        <f>IF(Instructions!$B$1="CZ","STOLY","DESKS")</f>
        <v>DESKS</v>
      </c>
      <c r="C4" s="135" t="str">
        <f>IF(Instructions!$B$1="CZ","SKŘÍŇKY","CABINETS")</f>
        <v>CABINETS</v>
      </c>
      <c r="D4" s="11"/>
      <c r="E4" s="11"/>
      <c r="F4" s="11"/>
      <c r="G4" s="253" t="str">
        <f>IF(Instructions!$B$1="CZ","Tržby","Sales")</f>
        <v>Sales</v>
      </c>
      <c r="H4" s="160">
        <f>'Q1'!H4</f>
        <v>0</v>
      </c>
      <c r="I4" s="161">
        <f>'Q2'!I4</f>
        <v>0</v>
      </c>
      <c r="J4" s="161">
        <f>B72</f>
        <v>0</v>
      </c>
      <c r="K4" s="162"/>
      <c r="L4" s="163">
        <f>H4+I4+J4</f>
        <v>0</v>
      </c>
      <c r="M4" s="11"/>
    </row>
    <row r="5" spans="1:13" x14ac:dyDescent="0.25">
      <c r="A5" s="137" t="str">
        <f>IF(Instructions!$B$1="CZ","Cena [Kč za ks]","Price [CZK per piece]")</f>
        <v>Price [CZK per piece]</v>
      </c>
      <c r="B5" s="138">
        <f>RawData!C10</f>
        <v>0</v>
      </c>
      <c r="C5" s="139">
        <f>RawData!C16</f>
        <v>0</v>
      </c>
      <c r="D5" s="11"/>
      <c r="E5" s="11"/>
      <c r="F5" s="11"/>
      <c r="G5" s="254" t="str">
        <f>IF(Instructions!$B$1="CZ","Náklady prodaných výrobků","Costs of goods sold")</f>
        <v>Costs of goods sold</v>
      </c>
      <c r="H5" s="164">
        <f>'Q1'!H5</f>
        <v>0</v>
      </c>
      <c r="I5" s="165">
        <f>'Q2'!I5</f>
        <v>0</v>
      </c>
      <c r="J5" s="165">
        <f>B73</f>
        <v>0</v>
      </c>
      <c r="K5" s="166"/>
      <c r="L5" s="167">
        <f>H5+I5+J5</f>
        <v>0</v>
      </c>
      <c r="M5" s="11"/>
    </row>
    <row r="6" spans="1:13" x14ac:dyDescent="0.25">
      <c r="A6" s="137" t="str">
        <f>IF(Instructions!$B$1="CZ","Nabídka [ks]","Offer [pcs]")</f>
        <v>Offer [pcs]</v>
      </c>
      <c r="B6" s="138">
        <f>RawData!C11</f>
        <v>0</v>
      </c>
      <c r="C6" s="139">
        <f>RawData!C17</f>
        <v>0</v>
      </c>
      <c r="D6" s="377"/>
      <c r="E6" s="378"/>
      <c r="F6" s="11"/>
      <c r="G6" s="254" t="str">
        <f>IF(Instructions!$B$1="CZ","Nepřímé náklady","Indirect costs")</f>
        <v>Indirect costs</v>
      </c>
      <c r="H6" s="168">
        <f>'Q1'!H6</f>
        <v>0</v>
      </c>
      <c r="I6" s="138">
        <f>'Q2'!I6</f>
        <v>0</v>
      </c>
      <c r="J6" s="138">
        <f>B78</f>
        <v>0</v>
      </c>
      <c r="K6" s="169"/>
      <c r="L6" s="167">
        <f t="shared" ref="L6:L11" si="0">H6+I6+J6</f>
        <v>0</v>
      </c>
      <c r="M6" s="11"/>
    </row>
    <row r="7" spans="1:13" x14ac:dyDescent="0.25">
      <c r="A7" s="137" t="str">
        <f>IF(Instructions!$B$1="CZ","Potenciální prodej [ks]","Potential sales [pcs]")</f>
        <v>Potential sales [pcs]</v>
      </c>
      <c r="B7" s="138">
        <f>RawData!C12</f>
        <v>0</v>
      </c>
      <c r="C7" s="139">
        <f>RawData!C18</f>
        <v>0</v>
      </c>
      <c r="D7" s="316"/>
      <c r="E7" s="316"/>
      <c r="F7" s="11"/>
      <c r="G7" s="254" t="str">
        <f>IF(Instructions!$B$1="CZ","Provozní zisk","Operating result")</f>
        <v>Operating result</v>
      </c>
      <c r="H7" s="168">
        <f>'Q1'!H7</f>
        <v>0</v>
      </c>
      <c r="I7" s="138">
        <f>'Q2'!I7</f>
        <v>0</v>
      </c>
      <c r="J7" s="138">
        <f>B84</f>
        <v>0</v>
      </c>
      <c r="K7" s="169"/>
      <c r="L7" s="167">
        <f t="shared" si="0"/>
        <v>0</v>
      </c>
      <c r="M7" s="11"/>
    </row>
    <row r="8" spans="1:13" x14ac:dyDescent="0.25">
      <c r="A8" s="137" t="str">
        <f>IF(Instructions!$B$1="CZ","Skutečný prodej [ks]","Actual sales [pcs]")</f>
        <v>Actual sales [pcs]</v>
      </c>
      <c r="B8" s="138">
        <f>RawData!C13</f>
        <v>0</v>
      </c>
      <c r="C8" s="139">
        <f>RawData!C19</f>
        <v>0</v>
      </c>
      <c r="D8" s="136"/>
      <c r="E8" s="136"/>
      <c r="F8" s="11"/>
      <c r="G8" s="254" t="str">
        <f>IF(Instructions!$B$1="CZ","Úroky","Capital costs")</f>
        <v>Capital costs</v>
      </c>
      <c r="H8" s="168">
        <f>'Q1'!H8</f>
        <v>0</v>
      </c>
      <c r="I8" s="138">
        <f>'Q2'!I8</f>
        <v>0</v>
      </c>
      <c r="J8" s="138">
        <f>B85</f>
        <v>0</v>
      </c>
      <c r="K8" s="169"/>
      <c r="L8" s="167">
        <f t="shared" si="0"/>
        <v>0</v>
      </c>
      <c r="M8" s="11"/>
    </row>
    <row r="9" spans="1:13" ht="16.5" thickBot="1" x14ac:dyDescent="0.3">
      <c r="A9" s="141" t="str">
        <f>IF(Instructions!$B$1="CZ","Tržby [Kč]","Sales [CZK]")</f>
        <v>Sales [CZK]</v>
      </c>
      <c r="B9" s="142">
        <f>B8*B5</f>
        <v>0</v>
      </c>
      <c r="C9" s="143">
        <f>C8*C5</f>
        <v>0</v>
      </c>
      <c r="D9" s="11"/>
      <c r="E9" s="11"/>
      <c r="F9" s="11"/>
      <c r="G9" s="254" t="str">
        <f>IF(Instructions!$B$1="CZ","Mimořádné výdaje","Extraordinary expenses")</f>
        <v>Extraordinary expenses</v>
      </c>
      <c r="H9" s="168">
        <f>'Q1'!H9</f>
        <v>0</v>
      </c>
      <c r="I9" s="138">
        <f>'Q2'!I9</f>
        <v>0</v>
      </c>
      <c r="J9" s="138">
        <f>IF(B52&lt;0,B52,0)</f>
        <v>0</v>
      </c>
      <c r="K9" s="169"/>
      <c r="L9" s="167">
        <f t="shared" si="0"/>
        <v>0</v>
      </c>
      <c r="M9" s="11"/>
    </row>
    <row r="10" spans="1:13" ht="16.5" thickBot="1" x14ac:dyDescent="0.3">
      <c r="A10" s="11"/>
      <c r="B10" s="11"/>
      <c r="C10" s="11"/>
      <c r="D10" s="11"/>
      <c r="E10" s="234"/>
      <c r="F10" s="234"/>
      <c r="G10" s="254" t="str">
        <f>IF(Instructions!$B$1="CZ","Daně","Taxes")</f>
        <v>Taxes</v>
      </c>
      <c r="H10" s="168">
        <f>'Q1'!H10</f>
        <v>0</v>
      </c>
      <c r="I10" s="138">
        <f>'Q2'!I10</f>
        <v>0</v>
      </c>
      <c r="J10" s="138">
        <f>B88</f>
        <v>0</v>
      </c>
      <c r="K10" s="169"/>
      <c r="L10" s="167">
        <f t="shared" si="0"/>
        <v>0</v>
      </c>
      <c r="M10" s="11"/>
    </row>
    <row r="11" spans="1:13" ht="18.75" x14ac:dyDescent="0.3">
      <c r="A11" s="373" t="str">
        <f>IF(Instructions!$B$1="CZ","VÝROBA","PRODUCTION")</f>
        <v>PRODUCTION</v>
      </c>
      <c r="B11" s="374"/>
      <c r="C11" s="375"/>
      <c r="D11" s="377"/>
      <c r="E11" s="378"/>
      <c r="F11" s="234"/>
      <c r="G11" s="254" t="str">
        <f>IF(Instructions!$B$1="CZ","Mimořádné příjmy","Extraordinary revenues")</f>
        <v>Extraordinary revenues</v>
      </c>
      <c r="H11" s="168">
        <f>'Q1'!H11</f>
        <v>0</v>
      </c>
      <c r="I11" s="138">
        <f>'Q2'!I11</f>
        <v>0</v>
      </c>
      <c r="J11" s="138">
        <f>IF(B52&gt;0,B52,0)</f>
        <v>0</v>
      </c>
      <c r="K11" s="169"/>
      <c r="L11" s="167">
        <f t="shared" si="0"/>
        <v>0</v>
      </c>
      <c r="M11" s="11"/>
    </row>
    <row r="12" spans="1:13" ht="16.5" thickBot="1" x14ac:dyDescent="0.3">
      <c r="A12" s="133" t="str">
        <f>IF(Instructions!$B$1="CZ","VÝROBEK","PRODUCT")</f>
        <v>PRODUCT</v>
      </c>
      <c r="B12" s="134" t="str">
        <f>IF(Instructions!$B$1="CZ","STOLY","DESKS")</f>
        <v>DESKS</v>
      </c>
      <c r="C12" s="135" t="str">
        <f>IF(Instructions!$B$1="CZ","SKŘÍŇKY","CABINETS")</f>
        <v>CABINETS</v>
      </c>
      <c r="D12" s="316"/>
      <c r="E12" s="316"/>
      <c r="F12" s="144"/>
      <c r="G12" s="255" t="str">
        <f>IF(Instructions!$B$1="CZ","Čistý zisk","Net results")</f>
        <v>Net results</v>
      </c>
      <c r="H12" s="172">
        <f>'Q1'!H12</f>
        <v>0</v>
      </c>
      <c r="I12" s="175">
        <f>'Q2'!I12</f>
        <v>0</v>
      </c>
      <c r="J12" s="175">
        <f>B91</f>
        <v>0</v>
      </c>
      <c r="K12" s="173"/>
      <c r="L12" s="174">
        <f>H12+I12+J12</f>
        <v>0</v>
      </c>
      <c r="M12" s="11"/>
    </row>
    <row r="13" spans="1:13" x14ac:dyDescent="0.25">
      <c r="A13" s="137" t="str">
        <f>IF(Instructions!$B$1="CZ","Počáteční zásoba [ks]","Opening stock [pcs]")</f>
        <v>Opening stock [pcs]</v>
      </c>
      <c r="B13" s="138">
        <f>RawData!C28</f>
        <v>0</v>
      </c>
      <c r="C13" s="139">
        <f>RawData!C33</f>
        <v>0</v>
      </c>
      <c r="D13" s="130"/>
      <c r="E13" s="130"/>
      <c r="F13" s="136"/>
      <c r="G13" s="256" t="str">
        <f>IF(Instructions!$B$1="CZ","Průzkum trhu","Market survey")</f>
        <v>Market survey</v>
      </c>
      <c r="H13" s="176">
        <f>'Q1'!H13</f>
        <v>0</v>
      </c>
      <c r="I13" s="207">
        <f>'Q2'!I13</f>
        <v>0</v>
      </c>
      <c r="J13" s="207">
        <f>B79</f>
        <v>0</v>
      </c>
      <c r="K13" s="177"/>
      <c r="L13" s="163">
        <f>H13+I13+J13</f>
        <v>0</v>
      </c>
      <c r="M13" s="11"/>
    </row>
    <row r="14" spans="1:13" x14ac:dyDescent="0.25">
      <c r="A14" s="137" t="str">
        <f>IF(Instructions!$B$1="CZ","Plánovaná výroba [ks]","Planned production [pcs]")</f>
        <v>Planned production [pcs]</v>
      </c>
      <c r="B14" s="138">
        <f>RawData!C29</f>
        <v>0</v>
      </c>
      <c r="C14" s="139">
        <f>RawData!C34</f>
        <v>0</v>
      </c>
      <c r="D14" s="131"/>
      <c r="E14" s="131"/>
      <c r="F14" s="136"/>
      <c r="G14" s="254" t="str">
        <f>IF(Instructions!$B$1="CZ","Cena stolu","Price of Desks")</f>
        <v>Price of Desks</v>
      </c>
      <c r="H14" s="168">
        <f>'Q1'!H14</f>
        <v>0</v>
      </c>
      <c r="I14" s="138">
        <f>'Q2'!I14</f>
        <v>0</v>
      </c>
      <c r="J14" s="138">
        <f>B5</f>
        <v>0</v>
      </c>
      <c r="K14" s="169"/>
      <c r="L14" s="221"/>
      <c r="M14" s="11"/>
    </row>
    <row r="15" spans="1:13" x14ac:dyDescent="0.25">
      <c r="A15" s="137" t="str">
        <f>IF(Instructions!$B$1="CZ","Skutečná výroba [ks]","Actual production [pcs]")</f>
        <v>Actual production [pcs]</v>
      </c>
      <c r="B15" s="138">
        <f>RawData!C30</f>
        <v>0</v>
      </c>
      <c r="C15" s="139">
        <f>RawData!C35</f>
        <v>0</v>
      </c>
      <c r="D15" s="130"/>
      <c r="E15" s="130"/>
      <c r="F15" s="136"/>
      <c r="G15" s="254" t="str">
        <f>IF(Instructions!$B$1="CZ","Cena skříňky","Price of cabinets")</f>
        <v>Price of cabinets</v>
      </c>
      <c r="H15" s="168">
        <f>'Q1'!H15</f>
        <v>0</v>
      </c>
      <c r="I15" s="138">
        <f>'Q2'!I15</f>
        <v>0</v>
      </c>
      <c r="J15" s="138">
        <f>C5</f>
        <v>0</v>
      </c>
      <c r="K15" s="169"/>
      <c r="L15" s="221"/>
      <c r="M15" s="11"/>
    </row>
    <row r="16" spans="1:13" ht="16.5" thickBot="1" x14ac:dyDescent="0.3">
      <c r="A16" s="141" t="str">
        <f>IF(Instructions!$B$1="CZ","Konečná zásoba [ks]","Inventory [pcs]")</f>
        <v>Inventory [pcs]</v>
      </c>
      <c r="B16" s="138">
        <f>RawData!C31</f>
        <v>0</v>
      </c>
      <c r="C16" s="139">
        <f>RawData!C36</f>
        <v>0</v>
      </c>
      <c r="D16" s="130"/>
      <c r="E16" s="130"/>
      <c r="F16" s="136"/>
      <c r="G16" s="257" t="str">
        <f>IF(Instructions!$B$1="CZ","Náklady neuspokojené poptávky","Out-of-stock costs")</f>
        <v>Out-of-stock costs</v>
      </c>
      <c r="H16" s="181">
        <f>'Q1'!H16</f>
        <v>0</v>
      </c>
      <c r="I16" s="142">
        <f>'Q2'!I16</f>
        <v>0</v>
      </c>
      <c r="J16" s="142">
        <f>B81</f>
        <v>0</v>
      </c>
      <c r="K16" s="182"/>
      <c r="L16" s="222">
        <f>H16+I16+J16</f>
        <v>0</v>
      </c>
      <c r="M16" s="11"/>
    </row>
    <row r="17" spans="1:13" ht="16.5" thickBot="1" x14ac:dyDescent="0.3">
      <c r="A17" s="11"/>
      <c r="B17" s="11"/>
      <c r="C17" s="11"/>
      <c r="D17" s="130"/>
      <c r="E17" s="130"/>
      <c r="F17" s="11"/>
      <c r="G17" s="258" t="str">
        <f>IF(Instructions!$B$1="CZ","Počet strojů","Capacity")</f>
        <v>Capacity</v>
      </c>
      <c r="H17" s="184">
        <f>'Q1'!H17</f>
        <v>3</v>
      </c>
      <c r="I17" s="185">
        <f>'Q2'!I17</f>
        <v>3</v>
      </c>
      <c r="J17" s="185">
        <v>3</v>
      </c>
      <c r="K17" s="186"/>
      <c r="L17" s="337"/>
      <c r="M17" s="11"/>
    </row>
    <row r="18" spans="1:13" ht="18.75" x14ac:dyDescent="0.3">
      <c r="A18" s="373" t="str">
        <f>IF(Instructions!$B$1="CZ","ZÁSOBOVÁNÍ","PROCUREMENT")</f>
        <v>PROCUREMENT</v>
      </c>
      <c r="B18" s="374"/>
      <c r="C18" s="375"/>
      <c r="D18" s="241"/>
      <c r="E18" s="242"/>
      <c r="F18" s="11"/>
      <c r="G18" s="259" t="str">
        <f>IF(Instructions!$B$1="CZ","Výroba - plán [%]","Production - plan [%]")</f>
        <v>Production - plan [%]</v>
      </c>
      <c r="H18" s="226"/>
      <c r="I18" s="230"/>
      <c r="J18" s="227"/>
      <c r="K18" s="186"/>
      <c r="L18" s="187"/>
      <c r="M18" s="11"/>
    </row>
    <row r="19" spans="1:13" ht="16.5" thickBot="1" x14ac:dyDescent="0.3">
      <c r="A19" s="133" t="str">
        <f>IF(Instructions!$B$1="CZ","SUROVINA","RAW MATERIAL")</f>
        <v>RAW MATERIAL</v>
      </c>
      <c r="B19" s="7" t="str">
        <f>IF(Instructions!$B$1="CZ","DŘEVO","WOOD")</f>
        <v>WOOD</v>
      </c>
      <c r="C19" s="5" t="str">
        <f>IF(Instructions!$B$1="CZ","KOV","METAL")</f>
        <v>METAL</v>
      </c>
      <c r="D19" s="11"/>
      <c r="E19" s="144"/>
      <c r="F19" s="11"/>
      <c r="G19" s="345" t="str">
        <f>IF(Instructions!$B$1="CZ","Výroba - stutečnost [%]","Production - reality [%]")</f>
        <v>Production - reality [%]</v>
      </c>
      <c r="H19" s="190"/>
      <c r="I19" s="228"/>
      <c r="J19" s="228"/>
      <c r="K19" s="192"/>
      <c r="L19" s="193"/>
      <c r="M19" s="11"/>
    </row>
    <row r="20" spans="1:13" x14ac:dyDescent="0.25">
      <c r="A20" s="137" t="str">
        <f>IF(Instructions!$B$1="CZ","Počáteční zásoba [kg]","Opening stock [kg]")</f>
        <v>Opening stock [kg]</v>
      </c>
      <c r="B20" s="138">
        <f>RawData!C45</f>
        <v>0</v>
      </c>
      <c r="C20" s="139">
        <f>RawData!C51</f>
        <v>0</v>
      </c>
      <c r="D20" s="130"/>
      <c r="E20" s="237"/>
      <c r="F20" s="11"/>
      <c r="G20" s="266" t="str">
        <f>IF(Instructions!$B$1="CZ","Zaměstnanci - celkem","Employees - total")</f>
        <v>Employees - total</v>
      </c>
      <c r="H20" s="176" t="e">
        <f>'Q1'!H20</f>
        <v>#DIV/0!</v>
      </c>
      <c r="I20" s="207" t="e">
        <f>'Q2'!I20</f>
        <v>#DIV/0!</v>
      </c>
      <c r="J20" s="207" t="e">
        <f>E27/E28</f>
        <v>#DIV/0!</v>
      </c>
      <c r="K20" s="177"/>
      <c r="L20" s="344"/>
      <c r="M20" s="11"/>
    </row>
    <row r="21" spans="1:13" x14ac:dyDescent="0.25">
      <c r="A21" s="137" t="str">
        <f>IF(Instructions!$B$1="CZ","Nákup [kg]","Purchase [kg]")</f>
        <v>Purchase [kg]</v>
      </c>
      <c r="B21" s="138">
        <f>RawData!C46</f>
        <v>0</v>
      </c>
      <c r="C21" s="139">
        <f>RawData!C52</f>
        <v>0</v>
      </c>
      <c r="D21" s="130"/>
      <c r="E21" s="237"/>
      <c r="F21" s="11"/>
      <c r="G21" s="260" t="str">
        <f>IF(Instructions!$B$1="CZ","Zaměstnanci - aktivní","Employees - active")</f>
        <v>Employees - active</v>
      </c>
      <c r="H21" s="164" t="e">
        <f>'Q1'!H21</f>
        <v>#DIV/0!</v>
      </c>
      <c r="I21" s="138" t="e">
        <f>'Q2'!I21</f>
        <v>#DIV/0!</v>
      </c>
      <c r="J21" s="136" t="e">
        <f>IF(B32&lt;90,INT(J20*0.75),IF(B32&lt;100,INT(J20*0.85),IF(B32&lt;110,INT(J20*0.95),J20)))</f>
        <v>#DIV/0!</v>
      </c>
      <c r="K21" s="166"/>
      <c r="L21" s="221"/>
      <c r="M21" s="11"/>
    </row>
    <row r="22" spans="1:13" x14ac:dyDescent="0.25">
      <c r="A22" s="137" t="str">
        <f>IF(Instructions!$B$1="CZ","Cena [Kč za kg]","Price [CZK per kg]")</f>
        <v>Price [CZK per kg]</v>
      </c>
      <c r="B22" s="240">
        <f>RawData!C47</f>
        <v>0</v>
      </c>
      <c r="C22" s="239">
        <f>RawData!C53</f>
        <v>0</v>
      </c>
      <c r="D22" s="131"/>
      <c r="E22" s="238"/>
      <c r="F22" s="11"/>
      <c r="G22" s="260" t="str">
        <f>IF(Instructions!$B$1="CZ","Zaměstnanci - změna","Employees - change")</f>
        <v>Employees - change</v>
      </c>
      <c r="H22" s="168">
        <f>'Q1'!H22</f>
        <v>0</v>
      </c>
      <c r="I22" s="138" t="e">
        <f>'Q2'!I22</f>
        <v>#DIV/0!</v>
      </c>
      <c r="J22" s="138" t="e">
        <f>J20-I20</f>
        <v>#DIV/0!</v>
      </c>
      <c r="K22" s="169"/>
      <c r="L22" s="221"/>
      <c r="M22" s="11"/>
    </row>
    <row r="23" spans="1:13" ht="16.5" thickBot="1" x14ac:dyDescent="0.3">
      <c r="A23" s="137" t="str">
        <f>IF(Instructions!$B$1="CZ","Spotřeba [kg]","Consumption [kg]")</f>
        <v>Consumption [kg]</v>
      </c>
      <c r="B23" s="138">
        <f>RawData!C48</f>
        <v>0</v>
      </c>
      <c r="C23" s="139">
        <f>RawData!C54</f>
        <v>0</v>
      </c>
      <c r="D23" s="130"/>
      <c r="E23" s="237"/>
      <c r="F23" s="11"/>
      <c r="G23" s="267" t="str">
        <f>IF(Instructions!$B$1="CZ","Zaměstnanci - přům. náklady na pracovníka","Employees - average per employee")</f>
        <v>Employees - average per employee</v>
      </c>
      <c r="H23" s="200">
        <f>'Q1'!H23</f>
        <v>0</v>
      </c>
      <c r="I23" s="201">
        <f>'Q2'!I23</f>
        <v>0</v>
      </c>
      <c r="J23" s="201">
        <f>E28</f>
        <v>0</v>
      </c>
      <c r="K23" s="202"/>
      <c r="L23" s="217"/>
      <c r="M23" s="11"/>
    </row>
    <row r="24" spans="1:13" ht="16.5" thickBot="1" x14ac:dyDescent="0.3">
      <c r="A24" s="141" t="str">
        <f>IF(Instructions!$B$1="CZ","Konečná zásoba [kg]","Inventory [kg]")</f>
        <v>Inventory [kg]</v>
      </c>
      <c r="B24" s="138">
        <f>RawData!C49</f>
        <v>0</v>
      </c>
      <c r="C24" s="139">
        <f>RawData!C55</f>
        <v>0</v>
      </c>
      <c r="D24" s="130"/>
      <c r="E24" s="237"/>
      <c r="F24" s="11"/>
      <c r="G24" s="261" t="str">
        <f>IF(Instructions!$B$1="CZ","Nedodržení plánované výroby","Production cut-backs")</f>
        <v>Production cut-backs</v>
      </c>
      <c r="H24" s="203">
        <f>'Q1'!H24</f>
        <v>0</v>
      </c>
      <c r="I24" s="204">
        <f>'Q2'!I24</f>
        <v>0</v>
      </c>
      <c r="J24" s="204">
        <v>0</v>
      </c>
      <c r="K24" s="205"/>
      <c r="L24" s="206"/>
      <c r="M24" s="11"/>
    </row>
    <row r="25" spans="1:13" ht="16.5" thickBot="1" x14ac:dyDescent="0.3">
      <c r="A25" s="11"/>
      <c r="B25" s="11"/>
      <c r="C25" s="11"/>
      <c r="D25" s="130"/>
      <c r="E25" s="130"/>
      <c r="F25" s="11"/>
      <c r="G25" s="262" t="str">
        <f>IF(Instructions!$B$1="CZ","Suroviny - nákup","Raw materials - purchase")</f>
        <v>Raw materials - purchase</v>
      </c>
      <c r="H25" s="176">
        <f>'Q1'!H25</f>
        <v>0</v>
      </c>
      <c r="I25" s="207">
        <f>'Q2'!I25</f>
        <v>0</v>
      </c>
      <c r="J25" s="207">
        <f>B46</f>
        <v>0</v>
      </c>
      <c r="K25" s="208"/>
      <c r="L25" s="340"/>
      <c r="M25" s="11"/>
    </row>
    <row r="26" spans="1:13" ht="18.75" x14ac:dyDescent="0.3">
      <c r="A26" s="367" t="str">
        <f>IF(Instructions!$B$1="CZ","LIDSKÉ ZDROJE","HUMAN RESOURCES")</f>
        <v>HUMAN RESOURCES</v>
      </c>
      <c r="B26" s="368"/>
      <c r="C26" s="368"/>
      <c r="D26" s="368"/>
      <c r="E26" s="369"/>
      <c r="F26" s="11"/>
      <c r="G26" s="263" t="str">
        <f>IF(Instructions!$B$1="CZ","Suroviny - sleva","Raw materials - discount")</f>
        <v>Raw materials - discount</v>
      </c>
      <c r="H26" s="168">
        <f>'Q1'!H26</f>
        <v>0</v>
      </c>
      <c r="I26" s="138">
        <f>'Q2'!I26</f>
        <v>0</v>
      </c>
      <c r="J26" s="138">
        <f>RawData!N140</f>
        <v>0</v>
      </c>
      <c r="K26" s="139"/>
      <c r="L26" s="342"/>
      <c r="M26" s="11"/>
    </row>
    <row r="27" spans="1:13" x14ac:dyDescent="0.25">
      <c r="A27" s="148" t="str">
        <f>IF(Instructions!$B$1="CZ","Základní index","Base index")</f>
        <v>Base index</v>
      </c>
      <c r="B27" s="136">
        <f>RawData!C65</f>
        <v>0</v>
      </c>
      <c r="C27" s="132"/>
      <c r="D27" s="132" t="str">
        <f>IF(Instructions!$B$1="CZ","Pracovní náklady","Labour costs")</f>
        <v>Labour costs</v>
      </c>
      <c r="E27" s="331">
        <f>RawData!C71</f>
        <v>0</v>
      </c>
      <c r="F27" s="130"/>
      <c r="G27" s="264" t="str">
        <f>IF(Instructions!$B$1="CZ","Suroviny - zásoba","Raw materials - stock")</f>
        <v>Raw materials - stock</v>
      </c>
      <c r="H27" s="164">
        <f>'Q1'!H27</f>
        <v>0</v>
      </c>
      <c r="I27" s="165">
        <f>'Q2'!I27</f>
        <v>0</v>
      </c>
      <c r="J27" s="165">
        <f>B59</f>
        <v>0</v>
      </c>
      <c r="K27" s="212"/>
      <c r="L27" s="342"/>
      <c r="M27" s="11"/>
    </row>
    <row r="28" spans="1:13" ht="16.5" thickBot="1" x14ac:dyDescent="0.3">
      <c r="A28" s="148" t="str">
        <f>IF(Instructions!$B$1="CZ","Mzdový index","Wage index")</f>
        <v>Wage index</v>
      </c>
      <c r="B28" s="136">
        <f>RawData!C66</f>
        <v>0</v>
      </c>
      <c r="C28" s="132"/>
      <c r="D28" s="132" t="str">
        <f>IF(Instructions!$B$1="CZ","Prům. náklady na pracovníka","Average per employee")</f>
        <v>Average per employee</v>
      </c>
      <c r="E28" s="331">
        <f>RawData!C72</f>
        <v>0</v>
      </c>
      <c r="F28" s="11"/>
      <c r="G28" s="265" t="str">
        <f>IF(Instructions!$B$1="CZ","Suroviny - skladovací náklady","Raw materials - storage costs")</f>
        <v>Raw materials - storage costs</v>
      </c>
      <c r="H28" s="213">
        <f>'Q1'!H28</f>
        <v>0</v>
      </c>
      <c r="I28" s="146">
        <f>'Q2'!I28</f>
        <v>0</v>
      </c>
      <c r="J28" s="146">
        <f>B82</f>
        <v>0</v>
      </c>
      <c r="K28" s="147"/>
      <c r="L28" s="214"/>
      <c r="M28" s="11"/>
    </row>
    <row r="29" spans="1:13" x14ac:dyDescent="0.25">
      <c r="A29" s="148" t="str">
        <f>IF(Instructions!$B$1="CZ","Změna mzdového indexu","Change in wage level")</f>
        <v>Change in wage level</v>
      </c>
      <c r="B29" s="136">
        <f>RawData!C67</f>
        <v>0</v>
      </c>
      <c r="C29" s="132"/>
      <c r="D29" s="132"/>
      <c r="E29" s="149"/>
      <c r="F29" s="11"/>
      <c r="G29" s="266" t="str">
        <f>IF(Instructions!$B$1="CZ","Výrobky - zásoba","Products - stock")</f>
        <v>Products - stock</v>
      </c>
      <c r="H29" s="176">
        <f>'Q1'!H29</f>
        <v>0</v>
      </c>
      <c r="I29" s="207">
        <f>'Q2'!I29</f>
        <v>0</v>
      </c>
      <c r="J29" s="207">
        <f>B60</f>
        <v>0</v>
      </c>
      <c r="K29" s="177"/>
      <c r="L29" s="163"/>
      <c r="M29" s="11"/>
    </row>
    <row r="30" spans="1:13" ht="16.5" thickBot="1" x14ac:dyDescent="0.3">
      <c r="A30" s="148" t="str">
        <f>IF(Instructions!$B$1="CZ","Vzdělávání","Training")</f>
        <v>Training</v>
      </c>
      <c r="B30" s="136">
        <v>0</v>
      </c>
      <c r="C30" s="132"/>
      <c r="D30" s="132"/>
      <c r="E30" s="149"/>
      <c r="F30" s="11"/>
      <c r="G30" s="265" t="str">
        <f>IF(Instructions!$B$1="CZ","Výrobky - skladovací náklady","Products - storage costs")</f>
        <v>Products - storage costs</v>
      </c>
      <c r="H30" s="213">
        <f>'Q1'!H30</f>
        <v>0</v>
      </c>
      <c r="I30" s="146">
        <f>'Q2'!I30</f>
        <v>0</v>
      </c>
      <c r="J30" s="146">
        <f>B83</f>
        <v>0</v>
      </c>
      <c r="K30" s="216"/>
      <c r="L30" s="217"/>
      <c r="M30" s="11"/>
    </row>
    <row r="31" spans="1:13" x14ac:dyDescent="0.25">
      <c r="A31" s="148" t="str">
        <f>IF(Instructions!$B$1="CZ","Vliv kokurence","Influence of competition")</f>
        <v>Influence of competition</v>
      </c>
      <c r="B31" s="136">
        <f>RawData!C69</f>
        <v>0</v>
      </c>
      <c r="C31" s="132"/>
      <c r="D31" s="132"/>
      <c r="E31" s="149"/>
      <c r="F31" s="11"/>
      <c r="G31" s="266" t="s">
        <v>4</v>
      </c>
      <c r="H31" s="218">
        <f>'Q1'!H31</f>
        <v>0</v>
      </c>
      <c r="I31" s="219">
        <f>'Q2'!I31</f>
        <v>0</v>
      </c>
      <c r="J31" s="219">
        <f>B32</f>
        <v>0</v>
      </c>
      <c r="K31" s="220"/>
      <c r="L31" s="163"/>
      <c r="M31" s="11"/>
    </row>
    <row r="32" spans="1:13" ht="16.5" thickBot="1" x14ac:dyDescent="0.3">
      <c r="A32" s="150" t="str">
        <f>IF(Instructions!$B$1="CZ","Nový index","New index")</f>
        <v>New index</v>
      </c>
      <c r="B32" s="151">
        <f>RawData!C70</f>
        <v>0</v>
      </c>
      <c r="C32" s="152"/>
      <c r="D32" s="152"/>
      <c r="E32" s="153"/>
      <c r="F32" s="11"/>
      <c r="G32" s="259" t="str">
        <f>IF(Instructions!$B$1="CZ","Průměrný PI na trhu","PI - market average")</f>
        <v>PI - market average</v>
      </c>
      <c r="H32" s="164">
        <f>'Q1'!H32</f>
        <v>100</v>
      </c>
      <c r="I32" s="165">
        <f>'Q2'!I32</f>
        <v>100</v>
      </c>
      <c r="J32" s="145">
        <v>100</v>
      </c>
      <c r="K32" s="166"/>
      <c r="L32" s="221"/>
      <c r="M32" s="11"/>
    </row>
    <row r="33" spans="1:13" x14ac:dyDescent="0.25">
      <c r="A33" s="11"/>
      <c r="B33" s="11"/>
      <c r="C33" s="11"/>
      <c r="D33" s="11"/>
      <c r="E33" s="11"/>
      <c r="F33" s="11"/>
      <c r="G33" s="260" t="str">
        <f>IF(Instructions!$B$1="CZ","Mzdový index","Wage index")</f>
        <v>Wage index</v>
      </c>
      <c r="H33" s="168">
        <f>'Q1'!H33</f>
        <v>0</v>
      </c>
      <c r="I33" s="138">
        <f>'Q2'!I33</f>
        <v>0</v>
      </c>
      <c r="J33" s="138">
        <f>B28</f>
        <v>0</v>
      </c>
      <c r="K33" s="169"/>
      <c r="L33" s="221"/>
      <c r="M33" s="11"/>
    </row>
    <row r="34" spans="1:13" ht="19.5" thickBot="1" x14ac:dyDescent="0.35">
      <c r="A34" s="376" t="s">
        <v>7</v>
      </c>
      <c r="B34" s="376"/>
      <c r="C34" s="315"/>
      <c r="D34" s="315"/>
      <c r="E34" s="315"/>
      <c r="F34" s="11"/>
      <c r="G34" s="267" t="str">
        <f>IF(Instructions!$B$1="CZ","Vzdělávání","Training")</f>
        <v>Training</v>
      </c>
      <c r="H34" s="213">
        <f>'Q1'!H34</f>
        <v>0</v>
      </c>
      <c r="I34" s="146">
        <f>'Q2'!I34</f>
        <v>0</v>
      </c>
      <c r="J34" s="146">
        <f>B30</f>
        <v>0</v>
      </c>
      <c r="K34" s="216"/>
      <c r="L34" s="222"/>
      <c r="M34" s="11"/>
    </row>
    <row r="35" spans="1:13" x14ac:dyDescent="0.25">
      <c r="A35" s="250" t="str">
        <f>IF(Instructions!$B$1="CZ","VÝCHOZÍ STAV HOTOVOSTI","OPENING BALANCE")</f>
        <v>OPENING BALANCE</v>
      </c>
      <c r="B35" s="145">
        <f>RawData!C94</f>
        <v>0</v>
      </c>
      <c r="C35" s="11"/>
      <c r="D35" s="11"/>
      <c r="E35" s="11"/>
      <c r="F35" s="11"/>
      <c r="G35" s="262" t="str">
        <f>IF(Instructions!$B$1="CZ","Úvěry","Credits")</f>
        <v>Credits</v>
      </c>
      <c r="H35" s="184">
        <f>'Q1'!H35</f>
        <v>0</v>
      </c>
      <c r="I35" s="185">
        <f>'Q2'!I35</f>
        <v>0</v>
      </c>
      <c r="J35" s="185">
        <f>B37</f>
        <v>0</v>
      </c>
      <c r="K35" s="186"/>
      <c r="L35" s="337"/>
      <c r="M35" s="11"/>
    </row>
    <row r="36" spans="1:13" x14ac:dyDescent="0.25">
      <c r="A36" s="250" t="str">
        <f>IF(Instructions!$B$1="CZ","Tržby","Sales revenues")</f>
        <v>Sales revenues</v>
      </c>
      <c r="B36" s="145">
        <f>RawData!C95</f>
        <v>0</v>
      </c>
      <c r="C36" s="130"/>
      <c r="D36" s="11"/>
      <c r="E36" s="11"/>
      <c r="F36" s="11"/>
      <c r="G36" s="260" t="str">
        <f>IF(Instructions!$B$1="CZ","Splátky","Repayments")</f>
        <v>Repayments</v>
      </c>
      <c r="H36" s="168">
        <f>'Q1'!H36</f>
        <v>0</v>
      </c>
      <c r="I36" s="138">
        <f>'Q2'!I36</f>
        <v>0</v>
      </c>
      <c r="J36" s="138">
        <f>B45</f>
        <v>0</v>
      </c>
      <c r="K36" s="169"/>
      <c r="L36" s="221"/>
      <c r="M36" s="11"/>
    </row>
    <row r="37" spans="1:13" x14ac:dyDescent="0.25">
      <c r="A37" s="250" t="str">
        <f>IF(Instructions!$B$1="CZ","Investiční úvěry","Investment credits")</f>
        <v>Investment credits</v>
      </c>
      <c r="B37" s="145">
        <f>RawData!C96</f>
        <v>0</v>
      </c>
      <c r="C37" s="11"/>
      <c r="D37" s="11"/>
      <c r="E37" s="11"/>
      <c r="F37" s="11"/>
      <c r="G37" s="260" t="str">
        <f>IF(Instructions!$B$1="CZ","Překlenovací úvěr","Extended credit")</f>
        <v>Extended credit</v>
      </c>
      <c r="H37" s="164">
        <f>'Q1'!H37</f>
        <v>0</v>
      </c>
      <c r="I37" s="165">
        <f>'Q2'!I37</f>
        <v>0</v>
      </c>
      <c r="J37" s="165">
        <f>B38</f>
        <v>0</v>
      </c>
      <c r="K37" s="166"/>
      <c r="L37" s="221"/>
      <c r="M37" s="11"/>
    </row>
    <row r="38" spans="1:13" ht="16.5" thickBot="1" x14ac:dyDescent="0.3">
      <c r="A38" s="250" t="str">
        <f>IF(Instructions!$B$1="CZ","Překlenovací úvěr","Extended credit")</f>
        <v>Extended credit</v>
      </c>
      <c r="B38" s="145">
        <f>RawData!C97</f>
        <v>0</v>
      </c>
      <c r="C38" s="11"/>
      <c r="D38" s="11"/>
      <c r="E38" s="11"/>
      <c r="F38" s="11"/>
      <c r="G38" s="268" t="str">
        <f>IF(Instructions!$B$1="CZ","Hotovost","Cash")</f>
        <v>Cash</v>
      </c>
      <c r="H38" s="172">
        <f>'Q1'!H38</f>
        <v>0</v>
      </c>
      <c r="I38" s="175">
        <f>'Q2'!I38</f>
        <v>0</v>
      </c>
      <c r="J38" s="175">
        <f>B54</f>
        <v>0</v>
      </c>
      <c r="K38" s="173"/>
      <c r="L38" s="343"/>
      <c r="M38" s="11"/>
    </row>
    <row r="39" spans="1:13" ht="16.5" thickBot="1" x14ac:dyDescent="0.3">
      <c r="A39" s="250" t="str">
        <f>IF(Instructions!$B$1="CZ","Mimořádné příjmy","Extraordinary incomes")</f>
        <v>Extraordinary incomes</v>
      </c>
      <c r="B39" s="145">
        <f>RawData!C98</f>
        <v>0</v>
      </c>
      <c r="C39" s="11"/>
      <c r="D39" s="11"/>
      <c r="E39" s="11"/>
      <c r="F39" s="11"/>
      <c r="G39" s="261" t="str">
        <f>IF(Instructions!$B$1="CZ","Cena akcie","Stockprice")</f>
        <v>Stockprice</v>
      </c>
      <c r="H39" s="223">
        <f>'Q2'!H39</f>
        <v>66.75</v>
      </c>
      <c r="I39" s="224">
        <f>'Q2'!I39</f>
        <v>0</v>
      </c>
      <c r="J39" s="224">
        <f>B65</f>
        <v>0</v>
      </c>
      <c r="K39" s="225"/>
      <c r="L39" s="206"/>
      <c r="M39" s="11"/>
    </row>
    <row r="40" spans="1:13" x14ac:dyDescent="0.25">
      <c r="A40" s="250" t="str">
        <f>IF(Instructions!$B$1="CZ","PŘÍJMY CELKEM","TOTAL REVENUES")</f>
        <v>TOTAL REVENUES</v>
      </c>
      <c r="B40" s="145">
        <f>RawData!C99</f>
        <v>0</v>
      </c>
      <c r="C40" s="11"/>
      <c r="D40" s="11"/>
      <c r="E40" s="11"/>
      <c r="F40" s="11"/>
      <c r="M40" s="11"/>
    </row>
    <row r="41" spans="1:13" x14ac:dyDescent="0.25">
      <c r="A41" s="250" t="str">
        <f>IF(Instructions!$B$1="CZ","Investice","Investments")</f>
        <v>Investments</v>
      </c>
      <c r="B41" s="145">
        <f>RawData!C100</f>
        <v>0</v>
      </c>
      <c r="C41" s="130"/>
      <c r="D41" s="11"/>
      <c r="E41" s="11"/>
      <c r="F41" s="11"/>
      <c r="M41" s="11"/>
    </row>
    <row r="42" spans="1:13" x14ac:dyDescent="0.25">
      <c r="A42" s="250" t="str">
        <f>IF(Instructions!$B$1="CZ","Marketingové oddělení","Marketing department")</f>
        <v>Marketing department</v>
      </c>
      <c r="B42" s="145">
        <f>RawData!C101</f>
        <v>0</v>
      </c>
      <c r="C42" s="130"/>
      <c r="D42" s="11"/>
      <c r="E42" s="11"/>
      <c r="F42" s="11"/>
      <c r="M42" s="11"/>
    </row>
    <row r="43" spans="1:13" x14ac:dyDescent="0.25">
      <c r="A43" s="250" t="str">
        <f>IF(Instructions!$B$1="CZ","Průzkumy","Market research")</f>
        <v>Market research</v>
      </c>
      <c r="B43" s="145">
        <f>RawData!C102</f>
        <v>0</v>
      </c>
      <c r="C43" s="130"/>
      <c r="D43" s="11"/>
      <c r="E43" s="11"/>
      <c r="F43" s="11"/>
      <c r="M43" s="11"/>
    </row>
    <row r="44" spans="1:13" x14ac:dyDescent="0.25">
      <c r="A44" s="250" t="str">
        <f>IF(Instructions!$B$1="CZ","Úroky","Interests")</f>
        <v>Interests</v>
      </c>
      <c r="B44" s="145">
        <f>RawData!C103</f>
        <v>0</v>
      </c>
      <c r="C44" s="130"/>
      <c r="D44" s="11"/>
      <c r="E44" s="11"/>
      <c r="F44" s="11"/>
      <c r="M44" s="11"/>
    </row>
    <row r="45" spans="1:13" x14ac:dyDescent="0.25">
      <c r="A45" s="250" t="str">
        <f>IF(Instructions!$B$1="CZ","Splátky","Repayments")</f>
        <v>Repayments</v>
      </c>
      <c r="B45" s="145">
        <f>RawData!C104</f>
        <v>0</v>
      </c>
      <c r="C45" s="130"/>
      <c r="D45" s="11"/>
      <c r="E45" s="11"/>
      <c r="F45" s="11"/>
      <c r="M45" s="11"/>
    </row>
    <row r="46" spans="1:13" x14ac:dyDescent="0.25">
      <c r="A46" s="250" t="str">
        <f>IF(Instructions!$B$1="CZ","Materiál","Material")</f>
        <v>Material</v>
      </c>
      <c r="B46" s="145">
        <f>RawData!C105</f>
        <v>0</v>
      </c>
      <c r="C46" s="130"/>
      <c r="D46" s="11"/>
      <c r="E46" s="11"/>
      <c r="F46" s="11"/>
      <c r="M46" s="11"/>
    </row>
    <row r="47" spans="1:13" x14ac:dyDescent="0.25">
      <c r="A47" s="250" t="str">
        <f>IF(Instructions!$B$1="CZ","Výroba","Production")</f>
        <v>Production</v>
      </c>
      <c r="B47" s="145">
        <f>RawData!C106</f>
        <v>0</v>
      </c>
      <c r="C47" s="130"/>
      <c r="D47" s="11"/>
      <c r="E47" s="11"/>
      <c r="F47" s="11"/>
      <c r="M47" s="11"/>
    </row>
    <row r="48" spans="1:13" x14ac:dyDescent="0.25">
      <c r="A48" s="250" t="str">
        <f>IF(Instructions!$B$1="CZ","Neuspokojená poptávka","Out-of-stock costs")</f>
        <v>Out-of-stock costs</v>
      </c>
      <c r="B48" s="145">
        <f>RawData!C107</f>
        <v>0</v>
      </c>
      <c r="C48" s="130"/>
      <c r="D48" s="11"/>
      <c r="E48" s="130"/>
      <c r="F48" s="11"/>
      <c r="M48" s="11"/>
    </row>
    <row r="49" spans="1:13" x14ac:dyDescent="0.25">
      <c r="A49" s="250" t="str">
        <f>IF(Instructions!$B$1="CZ","Skladování materiálu","Storage costs - raw materials")</f>
        <v>Storage costs - raw materials</v>
      </c>
      <c r="B49" s="145">
        <f>RawData!C108</f>
        <v>0</v>
      </c>
      <c r="C49" s="130"/>
      <c r="D49" s="11"/>
      <c r="E49" s="130"/>
      <c r="F49" s="11"/>
      <c r="M49" s="11"/>
    </row>
    <row r="50" spans="1:13" x14ac:dyDescent="0.25">
      <c r="A50" s="250" t="str">
        <f>IF(Instructions!$B$1="CZ","Skladování výrobků","Storage costs - end products")</f>
        <v>Storage costs - end products</v>
      </c>
      <c r="B50" s="145">
        <f>RawData!C109</f>
        <v>0</v>
      </c>
      <c r="C50" s="130"/>
      <c r="D50" s="11"/>
      <c r="E50" s="130"/>
      <c r="F50" s="11"/>
      <c r="M50" s="11"/>
    </row>
    <row r="51" spans="1:13" x14ac:dyDescent="0.25">
      <c r="A51" s="250" t="str">
        <f>IF(Instructions!$B$1="CZ","Daně","Taxes")</f>
        <v>Taxes</v>
      </c>
      <c r="B51" s="145">
        <f>RawData!C110</f>
        <v>0</v>
      </c>
      <c r="C51" s="11"/>
      <c r="D51" s="11"/>
      <c r="E51" s="11"/>
      <c r="F51" s="11"/>
      <c r="M51" s="11"/>
    </row>
    <row r="52" spans="1:13" x14ac:dyDescent="0.25">
      <c r="A52" s="250" t="str">
        <f>IF(Instructions!$B$1="CZ","Mimořádné výdaje","Extraordinary expenses")</f>
        <v>Extraordinary expenses</v>
      </c>
      <c r="B52" s="145">
        <f>RawData!C111</f>
        <v>0</v>
      </c>
      <c r="C52" s="11"/>
      <c r="D52" s="11"/>
      <c r="E52" s="11"/>
      <c r="F52" s="11"/>
      <c r="M52" s="11"/>
    </row>
    <row r="53" spans="1:13" x14ac:dyDescent="0.25">
      <c r="A53" s="250" t="str">
        <f>IF(Instructions!$B$1="CZ","VÝDAJE CELKEM","TOTAL EXPENSES")</f>
        <v>TOTAL EXPENSES</v>
      </c>
      <c r="B53" s="145">
        <f>RawData!C112</f>
        <v>0</v>
      </c>
      <c r="C53" s="11"/>
      <c r="D53" s="11"/>
      <c r="E53" s="130"/>
      <c r="F53" s="11"/>
      <c r="M53" s="11"/>
    </row>
    <row r="54" spans="1:13" x14ac:dyDescent="0.25">
      <c r="A54" s="250" t="str">
        <f>IF(Instructions!$B$1="CZ","KONEČNÝ STAV HOTOVOSTI","CASH BALANCE")</f>
        <v>CASH BALANCE</v>
      </c>
      <c r="B54" s="145">
        <f>B35+B40-B53</f>
        <v>0</v>
      </c>
      <c r="C54" s="11"/>
      <c r="D54" s="11"/>
      <c r="E54" s="130"/>
      <c r="F54" s="11"/>
      <c r="M54" s="11"/>
    </row>
    <row r="55" spans="1:13" ht="16.5" thickBot="1" x14ac:dyDescent="0.3">
      <c r="A55" s="11"/>
      <c r="B55" s="11"/>
      <c r="C55" s="11"/>
      <c r="D55" s="11"/>
      <c r="E55" s="130"/>
      <c r="F55" s="130"/>
      <c r="M55" s="11"/>
    </row>
    <row r="56" spans="1:13" ht="18.75" x14ac:dyDescent="0.3">
      <c r="A56" s="367" t="str">
        <f>IF(Instructions!$B$1="CZ","ROZVAHA","BALANCE SHEET")</f>
        <v>BALANCE SHEET</v>
      </c>
      <c r="B56" s="368"/>
      <c r="C56" s="368"/>
      <c r="D56" s="368"/>
      <c r="E56" s="369"/>
      <c r="F56" s="11"/>
      <c r="M56" s="11"/>
    </row>
    <row r="57" spans="1:13" x14ac:dyDescent="0.25">
      <c r="A57" s="148" t="str">
        <f>IF(Instructions!$B$1="CZ","Budovy","Buildings")</f>
        <v>Buildings</v>
      </c>
      <c r="B57" s="334">
        <f>RawData!C121</f>
        <v>0</v>
      </c>
      <c r="C57" s="132"/>
      <c r="D57" s="132" t="str">
        <f>IF(Instructions!$B$1="CZ","Vlastní kapitál","Equity")</f>
        <v>Equity</v>
      </c>
      <c r="E57" s="336">
        <f>RawData!C132</f>
        <v>0</v>
      </c>
      <c r="F57" s="11"/>
      <c r="M57" s="11"/>
    </row>
    <row r="58" spans="1:13" x14ac:dyDescent="0.25">
      <c r="A58" s="148" t="str">
        <f>IF(Instructions!$B$1="CZ","Stroje","Machines")</f>
        <v>Machines</v>
      </c>
      <c r="B58" s="334">
        <f>RawData!C122</f>
        <v>0</v>
      </c>
      <c r="C58" s="132"/>
      <c r="D58" s="132" t="str">
        <f>IF(Instructions!$B$1="CZ","Úvěry","Credits")</f>
        <v>Credits</v>
      </c>
      <c r="E58" s="336">
        <f>RawData!C133</f>
        <v>0</v>
      </c>
      <c r="F58" s="11"/>
      <c r="M58" s="11"/>
    </row>
    <row r="59" spans="1:13" x14ac:dyDescent="0.25">
      <c r="A59" s="148" t="str">
        <f>IF(Instructions!$B$1="CZ","Suroviny","Raw materials")</f>
        <v>Raw materials</v>
      </c>
      <c r="B59" s="334">
        <f>RawData!C123</f>
        <v>0</v>
      </c>
      <c r="C59" s="132"/>
      <c r="D59" s="132" t="str">
        <f>IF(Instructions!$B$1="CZ","Překlenovací úvěr","Extended credit")</f>
        <v>Extended credit</v>
      </c>
      <c r="E59" s="336">
        <f>RawData!C134</f>
        <v>0</v>
      </c>
      <c r="F59" s="11"/>
      <c r="M59" s="11"/>
    </row>
    <row r="60" spans="1:13" x14ac:dyDescent="0.25">
      <c r="A60" s="148" t="str">
        <f>IF(Instructions!$B$1="CZ","Hotové výrobky","End products")</f>
        <v>End products</v>
      </c>
      <c r="B60" s="334">
        <f>RawData!C124</f>
        <v>0</v>
      </c>
      <c r="C60" s="132"/>
      <c r="D60" s="132" t="str">
        <f>IF(Instructions!$B$1="CZ","Daně","Taxes")</f>
        <v>Taxes</v>
      </c>
      <c r="E60" s="336">
        <f>RawData!C135</f>
        <v>0</v>
      </c>
      <c r="F60" s="11"/>
      <c r="M60" s="11"/>
    </row>
    <row r="61" spans="1:13" x14ac:dyDescent="0.25">
      <c r="A61" s="148" t="str">
        <f>IF(Instructions!$B$1="CZ","Hotovost","Cash")</f>
        <v>Cash</v>
      </c>
      <c r="B61" s="334">
        <f>RawData!C125</f>
        <v>0</v>
      </c>
      <c r="C61" s="132"/>
      <c r="D61" s="132"/>
      <c r="E61" s="331"/>
      <c r="F61" s="11"/>
      <c r="M61" s="11"/>
    </row>
    <row r="62" spans="1:13" ht="16.5" thickBot="1" x14ac:dyDescent="0.3">
      <c r="A62" s="150" t="str">
        <f>IF(Instructions!$B$1="CZ","CELKEM","TOTAL")</f>
        <v>TOTAL</v>
      </c>
      <c r="B62" s="335">
        <f>B57+B58+B59+B60+B61</f>
        <v>0</v>
      </c>
      <c r="C62" s="152"/>
      <c r="D62" s="152" t="str">
        <f>IF(Instructions!$B$1="CZ","CELKEM","TOTAL")</f>
        <v>TOTAL</v>
      </c>
      <c r="E62" s="332">
        <f>E57+E58+E59+E60</f>
        <v>0</v>
      </c>
      <c r="F62" s="11"/>
      <c r="M62" s="11"/>
    </row>
    <row r="63" spans="1:13" ht="16.5" thickBot="1" x14ac:dyDescent="0.3">
      <c r="A63" s="11"/>
      <c r="B63" s="11"/>
      <c r="C63" s="11"/>
      <c r="D63" s="11"/>
      <c r="E63" s="130"/>
      <c r="F63" s="11"/>
      <c r="M63" s="11"/>
    </row>
    <row r="64" spans="1:13" ht="18.75" x14ac:dyDescent="0.3">
      <c r="A64" s="367" t="s">
        <v>26</v>
      </c>
      <c r="B64" s="369"/>
      <c r="C64" s="11"/>
      <c r="D64" s="130"/>
      <c r="E64" s="11"/>
      <c r="F64" s="11"/>
      <c r="M64" s="11"/>
    </row>
    <row r="65" spans="1:13" x14ac:dyDescent="0.25">
      <c r="A65" s="137" t="str">
        <f>Instructions!B5</f>
        <v>Firm</v>
      </c>
      <c r="B65" s="319">
        <f>RawData!C139</f>
        <v>0</v>
      </c>
      <c r="C65" s="11"/>
      <c r="D65" s="11"/>
      <c r="E65" s="11"/>
      <c r="F65" s="11"/>
      <c r="M65" s="11"/>
    </row>
    <row r="66" spans="1:13" x14ac:dyDescent="0.25">
      <c r="A66" s="137" t="s">
        <v>27</v>
      </c>
      <c r="B66" s="319">
        <f>RawData!C145</f>
        <v>0</v>
      </c>
      <c r="C66" s="11"/>
      <c r="D66" s="11"/>
      <c r="E66" s="11"/>
      <c r="F66" s="11"/>
      <c r="M66" s="130"/>
    </row>
    <row r="67" spans="1:13" x14ac:dyDescent="0.25">
      <c r="A67" s="137" t="s">
        <v>28</v>
      </c>
      <c r="B67" s="319">
        <f>RawData!C146</f>
        <v>0</v>
      </c>
      <c r="C67" s="11"/>
      <c r="D67" s="11"/>
      <c r="E67" s="11"/>
      <c r="F67" s="11"/>
      <c r="M67" s="11"/>
    </row>
    <row r="68" spans="1:13" x14ac:dyDescent="0.25">
      <c r="A68" s="137" t="s">
        <v>29</v>
      </c>
      <c r="B68" s="319">
        <f>RawData!C147</f>
        <v>0</v>
      </c>
      <c r="C68" s="11"/>
      <c r="D68" s="11"/>
      <c r="E68" s="11"/>
      <c r="F68" s="11"/>
      <c r="M68" s="11"/>
    </row>
    <row r="69" spans="1:13" ht="16.5" thickBot="1" x14ac:dyDescent="0.3">
      <c r="A69" s="141" t="s">
        <v>30</v>
      </c>
      <c r="B69" s="320">
        <f>RawData!C148</f>
        <v>0</v>
      </c>
      <c r="C69" s="11"/>
      <c r="D69" s="11"/>
      <c r="E69" s="11"/>
      <c r="F69" s="11"/>
      <c r="M69" s="11"/>
    </row>
    <row r="70" spans="1:13" ht="16.5" thickBot="1" x14ac:dyDescent="0.3">
      <c r="A70" s="11"/>
      <c r="B70" s="11"/>
      <c r="C70" s="11"/>
      <c r="D70" s="11"/>
      <c r="E70" s="11"/>
      <c r="F70" s="11"/>
      <c r="M70" s="11"/>
    </row>
    <row r="71" spans="1:13" ht="19.5" thickBot="1" x14ac:dyDescent="0.35">
      <c r="A71" s="371" t="str">
        <f>IF(Instructions!$B$1="CZ","VÝKAZ ZISKŮ A ZTRÁT","PROFIT AND LOSS ACCOUNT")</f>
        <v>PROFIT AND LOSS ACCOUNT</v>
      </c>
      <c r="B71" s="372"/>
      <c r="C71" s="11"/>
      <c r="D71" s="11"/>
      <c r="E71" s="11"/>
      <c r="F71" s="11"/>
      <c r="G71" s="134" t="str">
        <f>IF(Instructions!$B$1="CZ","Ziskovost-STOLY","Profitability-DESKS")</f>
        <v>Profitability-DESKS</v>
      </c>
      <c r="H71" s="134" t="str">
        <f>IF(Instructions!$B$1="CZ","SKŘÍŇKY","CABINETS")</f>
        <v>CABINETS</v>
      </c>
      <c r="M71" s="11"/>
    </row>
    <row r="72" spans="1:13" x14ac:dyDescent="0.25">
      <c r="A72" s="178" t="str">
        <f>IF(Instructions!$B$1="CZ","Tržby","Sales revenues")</f>
        <v>Sales revenues</v>
      </c>
      <c r="B72" s="330">
        <f>RawData!C170</f>
        <v>0</v>
      </c>
      <c r="C72" s="11"/>
      <c r="D72" s="130"/>
      <c r="E72" s="11"/>
      <c r="F72" s="11"/>
      <c r="G72" s="66">
        <f>B9</f>
        <v>0</v>
      </c>
      <c r="H72" s="66">
        <f>C9</f>
        <v>0</v>
      </c>
      <c r="M72" s="11"/>
    </row>
    <row r="73" spans="1:13" x14ac:dyDescent="0.25">
      <c r="A73" s="148" t="str">
        <f>IF(Instructions!$B$1="CZ","Náklady prodaných výrobků","Costs of goods sold")</f>
        <v>Costs of goods sold</v>
      </c>
      <c r="B73" s="331">
        <f>RawData!C171</f>
        <v>0</v>
      </c>
      <c r="C73" s="11"/>
      <c r="D73" s="130"/>
      <c r="E73" s="11"/>
      <c r="F73" s="11"/>
      <c r="G73" s="66" t="e">
        <f>SUM(G74:G76)</f>
        <v>#DIV/0!</v>
      </c>
      <c r="H73" s="66" t="e">
        <f>SUM(H74:H76)</f>
        <v>#DIV/0!</v>
      </c>
      <c r="M73" s="11"/>
    </row>
    <row r="74" spans="1:13" x14ac:dyDescent="0.25">
      <c r="A74" s="148" t="str">
        <f>IF(Instructions!$B$1="CZ","   Suroviny prodaných výrobků","   Raw materials in sold products")</f>
        <v xml:space="preserve">   Raw materials in sold products</v>
      </c>
      <c r="B74" s="180">
        <f>RawData!C172</f>
        <v>0</v>
      </c>
      <c r="C74" s="11"/>
      <c r="D74" s="130"/>
      <c r="E74" s="11"/>
      <c r="F74" s="11"/>
      <c r="G74" s="66">
        <f>'Q1'!B20*Data!F9+Data!F10*'Q1'!C20+(B8*Data!F15-'Q1'!B20)*'Q1'!B22+(B8*Data!F16-'Q1'!C20)*'Q1'!C22</f>
        <v>0</v>
      </c>
      <c r="H74" s="66">
        <f>('Q1'!C13-'Q1'!C8)*(Data!G15*Data!F9+Data!F10*Data!G16)+(C8-'Q1'!C13+'Q1'!C8)*('Q1'!B22*Data!G15+Data!G16*'Q1'!C22)</f>
        <v>0</v>
      </c>
      <c r="M74" s="11"/>
    </row>
    <row r="75" spans="1:13" x14ac:dyDescent="0.25">
      <c r="A75" s="148" t="str">
        <f>IF(Instructions!$B$1="CZ","   Výrobní náklady","   Production costs")</f>
        <v xml:space="preserve">   Production costs</v>
      </c>
      <c r="B75" s="180">
        <f>RawData!C173</f>
        <v>0</v>
      </c>
      <c r="C75" s="11"/>
      <c r="D75" s="130"/>
      <c r="E75" s="11"/>
      <c r="F75" s="11"/>
      <c r="G75" s="66" t="e">
        <f>B8/(B8+C8)*B75</f>
        <v>#DIV/0!</v>
      </c>
      <c r="H75" s="66" t="e">
        <f>C8/(B8+C8)*B75</f>
        <v>#DIV/0!</v>
      </c>
      <c r="M75" s="11"/>
    </row>
    <row r="76" spans="1:13" x14ac:dyDescent="0.25">
      <c r="A76" s="178" t="str">
        <f>IF(Instructions!$B$1="CZ","   Změna stavu zásob výrobků","   Change of stock - end products")</f>
        <v xml:space="preserve">   Change of stock - end products</v>
      </c>
      <c r="B76" s="188">
        <f>RawData!C174</f>
        <v>0</v>
      </c>
      <c r="C76" s="11"/>
      <c r="D76" s="130"/>
      <c r="E76" s="11"/>
      <c r="F76" s="11"/>
      <c r="G76" s="66">
        <f>(B13-B16)*Data!B9</f>
        <v>0</v>
      </c>
      <c r="H76" s="66">
        <f>(C13-C16)*Data!B10</f>
        <v>0</v>
      </c>
      <c r="M76" s="11"/>
    </row>
    <row r="77" spans="1:13" ht="16.5" thickBot="1" x14ac:dyDescent="0.3">
      <c r="A77" s="150" t="str">
        <f>IF(Instructions!$B$1="CZ","Hrubý zisk","Gross result")</f>
        <v>Gross result</v>
      </c>
      <c r="B77" s="332">
        <f>RawData!C175</f>
        <v>0</v>
      </c>
      <c r="C77" s="11"/>
      <c r="D77" s="130"/>
      <c r="E77" s="11"/>
      <c r="F77" s="11"/>
      <c r="G77" s="66" t="e">
        <f>G72-G73</f>
        <v>#DIV/0!</v>
      </c>
      <c r="H77" s="66" t="e">
        <f>H72-H73</f>
        <v>#DIV/0!</v>
      </c>
      <c r="M77" s="11"/>
    </row>
    <row r="78" spans="1:13" x14ac:dyDescent="0.25">
      <c r="A78" s="148" t="str">
        <f>IF(Instructions!$B$1="CZ","Nepřímé náklady","Indirect costs")</f>
        <v>Indirect costs</v>
      </c>
      <c r="B78" s="331">
        <f>RawData!C176</f>
        <v>0</v>
      </c>
      <c r="C78" s="11"/>
      <c r="D78" s="11"/>
      <c r="E78" s="11"/>
      <c r="F78" s="11"/>
      <c r="G78" s="66" t="e">
        <f>SUM(G79:G83)</f>
        <v>#DIV/0!</v>
      </c>
      <c r="H78" s="66" t="e">
        <f>SUM(H79:H83)</f>
        <v>#DIV/0!</v>
      </c>
      <c r="M78" s="11"/>
    </row>
    <row r="79" spans="1:13" x14ac:dyDescent="0.25">
      <c r="A79" s="148" t="str">
        <f>IF(Instructions!$B$1="CZ","   Průzkum trhu","   Market survey")</f>
        <v xml:space="preserve">   Market survey</v>
      </c>
      <c r="B79" s="331">
        <f>RawData!C177</f>
        <v>0</v>
      </c>
      <c r="C79" s="11"/>
      <c r="D79" s="11"/>
      <c r="E79" s="11"/>
      <c r="F79" s="11"/>
      <c r="G79" s="66" t="e">
        <f>B8/(B8+C8)*B79</f>
        <v>#DIV/0!</v>
      </c>
      <c r="H79" s="66" t="e">
        <f>C8/(B8+C8)*B79</f>
        <v>#DIV/0!</v>
      </c>
      <c r="M79" s="11"/>
    </row>
    <row r="80" spans="1:13" x14ac:dyDescent="0.25">
      <c r="A80" s="148" t="str">
        <f>IF(Instructions!$B$1="CZ","   Marketingové oddělení","   Sales staff")</f>
        <v xml:space="preserve">   Sales staff</v>
      </c>
      <c r="B80" s="331">
        <f>RawData!C178</f>
        <v>0</v>
      </c>
      <c r="C80" s="11"/>
      <c r="D80" s="11"/>
      <c r="E80" s="11"/>
      <c r="F80" s="11"/>
      <c r="G80" s="66" t="e">
        <f>B8/(B8+C8)*B80</f>
        <v>#DIV/0!</v>
      </c>
      <c r="H80" s="66" t="e">
        <f>C8/(B8+C8)*B80</f>
        <v>#DIV/0!</v>
      </c>
      <c r="M80" s="11"/>
    </row>
    <row r="81" spans="1:13" x14ac:dyDescent="0.25">
      <c r="A81" s="148" t="str">
        <f>IF(Instructions!$B$1="CZ","   Náklady neuspokojené poptávky","   Out-of-stock costs")</f>
        <v xml:space="preserve">   Out-of-stock costs</v>
      </c>
      <c r="B81" s="331">
        <f>RawData!C179</f>
        <v>0</v>
      </c>
      <c r="C81" s="11"/>
      <c r="D81" s="11"/>
      <c r="E81" s="11"/>
      <c r="F81" s="11"/>
      <c r="G81" s="66">
        <f>IF(AND(B5&lt;1300,B8-B7&lt;0),(B7-B8)*25,0)</f>
        <v>0</v>
      </c>
      <c r="H81" s="66">
        <f>IF(AND(C5&lt;2800,C8-C7&lt;0),(C7-C8)*50,0)</f>
        <v>0</v>
      </c>
      <c r="M81" s="11"/>
    </row>
    <row r="82" spans="1:13" x14ac:dyDescent="0.25">
      <c r="A82" s="148" t="str">
        <f>IF(Instructions!$B$1="CZ","   Skladovací náklady - suroviny","   Storage costs - raw materials")</f>
        <v xml:space="preserve">   Storage costs - raw materials</v>
      </c>
      <c r="B82" s="331">
        <f>RawData!C180</f>
        <v>0</v>
      </c>
      <c r="C82" s="11"/>
      <c r="D82" s="11"/>
      <c r="E82" s="11"/>
      <c r="F82" s="11"/>
      <c r="G82" s="66" t="e">
        <f>B8/(B8+C8)*B82</f>
        <v>#DIV/0!</v>
      </c>
      <c r="H82" s="66" t="e">
        <f>C8/(B8+C8)*B82</f>
        <v>#DIV/0!</v>
      </c>
      <c r="M82" s="11"/>
    </row>
    <row r="83" spans="1:13" x14ac:dyDescent="0.25">
      <c r="A83" s="178" t="str">
        <f>IF(Instructions!$B$1="CZ","   Skladovací náklady - výrobky","   Storage costs - end products")</f>
        <v xml:space="preserve">   Storage costs - end products</v>
      </c>
      <c r="B83" s="188">
        <f>RawData!C181</f>
        <v>0</v>
      </c>
      <c r="C83" s="11"/>
      <c r="D83" s="11"/>
      <c r="E83" s="11"/>
      <c r="F83" s="11"/>
      <c r="G83" s="66">
        <f>B16*Data!F3</f>
        <v>0</v>
      </c>
      <c r="H83" s="66">
        <f>C16*Data!F3</f>
        <v>0</v>
      </c>
      <c r="M83" s="11"/>
    </row>
    <row r="84" spans="1:13" ht="16.5" thickBot="1" x14ac:dyDescent="0.3">
      <c r="A84" s="148" t="str">
        <f>IF(Instructions!$B$1="CZ","Provozní zisk","Operating result")</f>
        <v>Operating result</v>
      </c>
      <c r="B84" s="331">
        <f>RawData!C182</f>
        <v>0</v>
      </c>
      <c r="C84" s="130"/>
      <c r="D84" s="11"/>
      <c r="E84" s="11"/>
      <c r="F84" s="11"/>
      <c r="G84" s="66" t="e">
        <f>G77-G78</f>
        <v>#DIV/0!</v>
      </c>
      <c r="H84" s="66" t="e">
        <f>H77-H78</f>
        <v>#DIV/0!</v>
      </c>
      <c r="M84" s="11"/>
    </row>
    <row r="85" spans="1:13" x14ac:dyDescent="0.25">
      <c r="A85" s="211" t="str">
        <f>IF(Instructions!$B$1="CZ","Zaplacené úroky","Capital costs")</f>
        <v>Capital costs</v>
      </c>
      <c r="B85" s="333">
        <f>RawData!C183</f>
        <v>0</v>
      </c>
      <c r="C85" s="11"/>
      <c r="D85" s="11"/>
      <c r="E85" s="11"/>
      <c r="F85" s="11"/>
      <c r="G85" s="66" t="e">
        <f>B8/(B8+C8)*B85</f>
        <v>#DIV/0!</v>
      </c>
      <c r="H85" s="66" t="e">
        <f>C8/(B8+C8)*B85</f>
        <v>#DIV/0!</v>
      </c>
      <c r="M85" s="11"/>
    </row>
    <row r="86" spans="1:13" x14ac:dyDescent="0.25">
      <c r="A86" s="148" t="str">
        <f>IF(Instructions!$B$1="CZ","Mimořádné výdaje","Extraordinary expenses")</f>
        <v>Extraordinary expenses</v>
      </c>
      <c r="B86" s="331">
        <f>RawData!C184</f>
        <v>0</v>
      </c>
      <c r="C86" s="11"/>
      <c r="D86" s="11"/>
      <c r="E86" s="11"/>
      <c r="F86" s="11"/>
      <c r="G86" s="66" t="e">
        <f>B8/(B8+C8)*B86</f>
        <v>#DIV/0!</v>
      </c>
      <c r="H86" s="66" t="e">
        <f>C8/(B8+C8)*B86</f>
        <v>#DIV/0!</v>
      </c>
      <c r="M86" s="11"/>
    </row>
    <row r="87" spans="1:13" x14ac:dyDescent="0.25">
      <c r="A87" s="148" t="str">
        <f>IF(Instructions!$B$1="CZ","Zisk z provozní činnosti před zdaněním","Normal operating result before tax")</f>
        <v>Normal operating result before tax</v>
      </c>
      <c r="B87" s="331">
        <f>RawData!C185</f>
        <v>0</v>
      </c>
      <c r="C87" s="11"/>
      <c r="D87" s="11"/>
      <c r="E87" s="11"/>
      <c r="F87" s="11"/>
      <c r="G87" s="66" t="e">
        <f>G84-G85-G86</f>
        <v>#DIV/0!</v>
      </c>
      <c r="H87" s="66" t="e">
        <f>H84-H85-H86</f>
        <v>#DIV/0!</v>
      </c>
      <c r="M87" s="11"/>
    </row>
    <row r="88" spans="1:13" x14ac:dyDescent="0.25">
      <c r="A88" s="148" t="str">
        <f>IF(Instructions!$B$1="CZ","Daně","Taxes")</f>
        <v>Taxes</v>
      </c>
      <c r="B88" s="331">
        <f>RawData!C186</f>
        <v>0</v>
      </c>
      <c r="C88" s="11"/>
      <c r="D88" s="11"/>
      <c r="E88" s="11"/>
      <c r="F88" s="11"/>
      <c r="M88" s="11"/>
    </row>
    <row r="89" spans="1:13" x14ac:dyDescent="0.25">
      <c r="A89" s="178" t="str">
        <f>IF(Instructions!$B$1="CZ","Zisk z provozní činnosti po zdanění","Normal operating result after tax")</f>
        <v>Normal operating result after tax</v>
      </c>
      <c r="B89" s="330">
        <f>RawData!C187</f>
        <v>0</v>
      </c>
      <c r="C89" s="215"/>
      <c r="D89" s="11"/>
      <c r="E89" s="11"/>
      <c r="F89" s="11"/>
      <c r="M89" s="11"/>
    </row>
    <row r="90" spans="1:13" x14ac:dyDescent="0.25">
      <c r="A90" s="148" t="str">
        <f>IF(Instructions!$B$1="CZ","Mimořádné příjmy","Extraordinary revenues")</f>
        <v>Extraordinary revenues</v>
      </c>
      <c r="B90" s="331">
        <f>RawData!C188</f>
        <v>0</v>
      </c>
      <c r="C90" s="215"/>
      <c r="D90" s="11"/>
      <c r="E90" s="11"/>
      <c r="F90" s="11"/>
      <c r="M90" s="11"/>
    </row>
    <row r="91" spans="1:13" ht="16.5" thickBot="1" x14ac:dyDescent="0.3">
      <c r="A91" s="150" t="str">
        <f>IF(Instructions!$B$1="CZ","Celkový čistý zisk","Net result")</f>
        <v>Net result</v>
      </c>
      <c r="B91" s="332">
        <f>RawData!C189</f>
        <v>0</v>
      </c>
      <c r="C91" s="11"/>
      <c r="D91" s="11"/>
      <c r="E91" s="11"/>
      <c r="F91" s="11"/>
      <c r="M91" s="11"/>
    </row>
    <row r="92" spans="1:13" x14ac:dyDescent="0.25">
      <c r="A92" s="11"/>
      <c r="B92" s="11"/>
      <c r="C92" s="11"/>
      <c r="D92" s="11"/>
      <c r="E92" s="11"/>
      <c r="F92" s="11"/>
      <c r="M92" s="11"/>
    </row>
    <row r="93" spans="1:13" x14ac:dyDescent="0.25">
      <c r="A93" s="11"/>
      <c r="B93" s="11"/>
      <c r="C93" s="11"/>
      <c r="D93" s="11"/>
      <c r="E93" s="11"/>
      <c r="F93" s="11"/>
      <c r="M93" s="11"/>
    </row>
  </sheetData>
  <mergeCells count="12">
    <mergeCell ref="A71:B71"/>
    <mergeCell ref="A56:E56"/>
    <mergeCell ref="G1:L1"/>
    <mergeCell ref="A18:C18"/>
    <mergeCell ref="A26:E26"/>
    <mergeCell ref="A34:B34"/>
    <mergeCell ref="A1:E1"/>
    <mergeCell ref="A3:C3"/>
    <mergeCell ref="A11:C11"/>
    <mergeCell ref="D6:E6"/>
    <mergeCell ref="D11:E11"/>
    <mergeCell ref="A64:B64"/>
  </mergeCells>
  <pageMargins left="0.78740157499999996" right="0.78740157499999996" top="0.984251969" bottom="0.984251969" header="0.4921259845" footer="0.4921259845"/>
  <pageSetup paperSize="9" scale="77" orientation="portrait" r:id="rId1"/>
  <headerFooter alignWithMargins="0">
    <oddHeader>&amp;R5. KOLO</oddHeader>
    <oddFooter>Stránka &amp;P</oddFooter>
  </headerFooter>
  <rowBreaks count="1" manualBreakCount="1">
    <brk id="55" max="11" man="1"/>
  </rowBreaks>
  <colBreaks count="1" manualBreakCount="1">
    <brk id="5" max="9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3"/>
  <sheetViews>
    <sheetView workbookViewId="0">
      <selection sqref="A1:E1"/>
    </sheetView>
  </sheetViews>
  <sheetFormatPr defaultColWidth="8.875" defaultRowHeight="15.75" x14ac:dyDescent="0.25"/>
  <cols>
    <col min="1" max="1" width="37.125" bestFit="1" customWidth="1"/>
    <col min="2" max="2" width="10.125" customWidth="1"/>
    <col min="3" max="3" width="12.625" bestFit="1" customWidth="1"/>
    <col min="4" max="4" width="25" bestFit="1" customWidth="1"/>
    <col min="5" max="5" width="10.125" customWidth="1"/>
    <col min="7" max="7" width="38.125" bestFit="1" customWidth="1"/>
    <col min="8" max="8" width="10.625" customWidth="1"/>
    <col min="9" max="9" width="13.375" bestFit="1" customWidth="1"/>
    <col min="10" max="12" width="10.625" customWidth="1"/>
  </cols>
  <sheetData>
    <row r="1" spans="1:13" ht="18.75" x14ac:dyDescent="0.3">
      <c r="A1" s="370" t="str">
        <f>IF(Instructions!$B$1="CZ",CONCATENATE("FINANČNÍ VÝSLEDKY FIRMY ",Instructions!$B$5),CONCATENATE("FINANCIAL RESULTS FOR COMPANY ",Instructions!$B$5))</f>
        <v>FINANCIAL RESULTS FOR COMPANY Firm</v>
      </c>
      <c r="B1" s="370"/>
      <c r="C1" s="370"/>
      <c r="D1" s="370"/>
      <c r="E1" s="370"/>
      <c r="F1" s="11"/>
      <c r="G1" s="370" t="str">
        <f>IF(Instructions!$B$1="CZ",CONCATENATE("ROČNÍ SOUHRN FIRMY ",Instructions!$B$5),CONCATENATE("FOUR-QUARTER SURVEY FOR COMPANY ",Instructions!$B$5))</f>
        <v>FOUR-QUARTER SURVEY FOR COMPANY Firm</v>
      </c>
      <c r="H1" s="370"/>
      <c r="I1" s="370"/>
      <c r="J1" s="370"/>
      <c r="K1" s="370"/>
      <c r="L1" s="370"/>
      <c r="M1" s="11"/>
    </row>
    <row r="2" spans="1:13" ht="16.5" thickBot="1" x14ac:dyDescent="0.3">
      <c r="A2" s="11"/>
      <c r="B2" s="11"/>
      <c r="C2" s="11"/>
      <c r="D2" s="11"/>
      <c r="E2" s="11"/>
      <c r="F2" s="11"/>
      <c r="G2" s="11"/>
      <c r="H2" s="11"/>
      <c r="I2" s="11"/>
      <c r="J2" s="11"/>
      <c r="K2" s="11"/>
      <c r="L2" s="11"/>
      <c r="M2" s="11"/>
    </row>
    <row r="3" spans="1:13" ht="19.5" thickBot="1" x14ac:dyDescent="0.35">
      <c r="A3" s="373" t="str">
        <f>IF(Instructions!$B$1="CZ","MARKETING A PRODEJ","MARKETING AND SALES")</f>
        <v>MARKETING AND SALES</v>
      </c>
      <c r="B3" s="374"/>
      <c r="C3" s="375"/>
      <c r="D3" s="270" t="str">
        <f>IF(Instructions!$B$1="CZ","Čtvrtletí:","Quarter: ")</f>
        <v xml:space="preserve">Quarter: </v>
      </c>
      <c r="E3" s="280">
        <v>2</v>
      </c>
      <c r="F3" s="11"/>
      <c r="G3" s="252" t="str">
        <f>IF(Instructions!$B$1="CZ","ČTVRTLETÍ","QUARTER")</f>
        <v>QUARTER</v>
      </c>
      <c r="H3" s="157" t="s">
        <v>15</v>
      </c>
      <c r="I3" s="158" t="s">
        <v>16</v>
      </c>
      <c r="J3" s="158" t="s">
        <v>11</v>
      </c>
      <c r="K3" s="159" t="s">
        <v>12</v>
      </c>
      <c r="L3" s="156" t="str">
        <f>IF(Instructions!$B$1="CZ","CELKEM","TOTAL")</f>
        <v>TOTAL</v>
      </c>
      <c r="M3" s="11"/>
    </row>
    <row r="4" spans="1:13" x14ac:dyDescent="0.25">
      <c r="A4" s="133" t="str">
        <f>IF(Instructions!$B$1="CZ","PRODUKT","PRODUCT")</f>
        <v>PRODUCT</v>
      </c>
      <c r="B4" s="134" t="str">
        <f>IF(Instructions!$B$1="CZ","STOLY","DESKS")</f>
        <v>DESKS</v>
      </c>
      <c r="C4" s="135" t="str">
        <f>IF(Instructions!$B$1="CZ","SKŘÍŇKY","CABINETS")</f>
        <v>CABINETS</v>
      </c>
      <c r="D4" s="11"/>
      <c r="E4" s="11"/>
      <c r="F4" s="11"/>
      <c r="G4" s="253" t="str">
        <f>IF(Instructions!$B$1="CZ","Tržby","Sales")</f>
        <v>Sales</v>
      </c>
      <c r="H4" s="338">
        <f>'Q1'!H4</f>
        <v>0</v>
      </c>
      <c r="I4" s="339">
        <f>B72</f>
        <v>0</v>
      </c>
      <c r="J4" s="161"/>
      <c r="K4" s="162"/>
      <c r="L4" s="163">
        <f>H4+I4</f>
        <v>0</v>
      </c>
      <c r="M4" s="11"/>
    </row>
    <row r="5" spans="1:13" x14ac:dyDescent="0.25">
      <c r="A5" s="137" t="str">
        <f>IF(Instructions!$B$1="CZ","Cena [Kč za ks]","Price [CZK per piece]")</f>
        <v>Price [CZK per piece]</v>
      </c>
      <c r="B5" s="138">
        <f>RawData!B10</f>
        <v>0</v>
      </c>
      <c r="C5" s="139">
        <f>RawData!B16</f>
        <v>0</v>
      </c>
      <c r="D5" s="11"/>
      <c r="E5" s="11"/>
      <c r="F5" s="11"/>
      <c r="G5" s="254" t="str">
        <f>IF(Instructions!$B$1="CZ","Náklady prodaných výrobků","Costs of goods sold")</f>
        <v>Costs of goods sold</v>
      </c>
      <c r="H5" s="164">
        <f>'Q1'!H5</f>
        <v>0</v>
      </c>
      <c r="I5" s="165">
        <f>B73</f>
        <v>0</v>
      </c>
      <c r="J5" s="165"/>
      <c r="K5" s="166"/>
      <c r="L5" s="167">
        <f>H5+I5</f>
        <v>0</v>
      </c>
      <c r="M5" s="11"/>
    </row>
    <row r="6" spans="1:13" x14ac:dyDescent="0.25">
      <c r="A6" s="137" t="str">
        <f>IF(Instructions!$B$1="CZ","Nabídka [ks]","Offer [pcs]")</f>
        <v>Offer [pcs]</v>
      </c>
      <c r="B6" s="138">
        <f>RawData!B11</f>
        <v>0</v>
      </c>
      <c r="C6" s="139">
        <f>RawData!B17</f>
        <v>0</v>
      </c>
      <c r="D6" s="361"/>
      <c r="E6" s="234"/>
      <c r="F6" s="11"/>
      <c r="G6" s="254" t="str">
        <f>IF(Instructions!$B$1="CZ","Nepřímé náklady","Indirect costs")</f>
        <v>Indirect costs</v>
      </c>
      <c r="H6" s="168">
        <f>'Q1'!H6</f>
        <v>0</v>
      </c>
      <c r="I6" s="138">
        <f>B78</f>
        <v>0</v>
      </c>
      <c r="J6" s="138"/>
      <c r="K6" s="169"/>
      <c r="L6" s="167">
        <f t="shared" ref="L6:L11" si="0">H6+I6</f>
        <v>0</v>
      </c>
      <c r="M6" s="11"/>
    </row>
    <row r="7" spans="1:13" x14ac:dyDescent="0.25">
      <c r="A7" s="137" t="str">
        <f>IF(Instructions!$B$1="CZ","Potenciální prodej [ks]","Potential sales [pcs]")</f>
        <v>Potential sales [pcs]</v>
      </c>
      <c r="B7" s="138">
        <f>RawData!B12</f>
        <v>0</v>
      </c>
      <c r="C7" s="139">
        <f>RawData!B18</f>
        <v>0</v>
      </c>
      <c r="D7" s="316"/>
      <c r="E7" s="316"/>
      <c r="F7" s="11"/>
      <c r="G7" s="254" t="str">
        <f>IF(Instructions!$B$1="CZ","Provozní zisk","Operating result")</f>
        <v>Operating result</v>
      </c>
      <c r="H7" s="168">
        <f>'Q1'!H7</f>
        <v>0</v>
      </c>
      <c r="I7" s="138">
        <f>B84</f>
        <v>0</v>
      </c>
      <c r="J7" s="138"/>
      <c r="K7" s="169"/>
      <c r="L7" s="167">
        <f t="shared" si="0"/>
        <v>0</v>
      </c>
      <c r="M7" s="11"/>
    </row>
    <row r="8" spans="1:13" x14ac:dyDescent="0.25">
      <c r="A8" s="137" t="str">
        <f>IF(Instructions!$B$1="CZ","Skutečný prodej [ks]","Actual sales [pcs]")</f>
        <v>Actual sales [pcs]</v>
      </c>
      <c r="B8" s="138">
        <f>RawData!B13</f>
        <v>0</v>
      </c>
      <c r="C8" s="139">
        <f>RawData!B19</f>
        <v>0</v>
      </c>
      <c r="D8" s="136"/>
      <c r="E8" s="136"/>
      <c r="F8" s="11"/>
      <c r="G8" s="254" t="str">
        <f>IF(Instructions!$B$1="CZ","Úroky","Capital costs")</f>
        <v>Capital costs</v>
      </c>
      <c r="H8" s="168">
        <f>'Q1'!H8</f>
        <v>0</v>
      </c>
      <c r="I8" s="138">
        <f>B85</f>
        <v>0</v>
      </c>
      <c r="J8" s="138"/>
      <c r="K8" s="169"/>
      <c r="L8" s="167">
        <f t="shared" si="0"/>
        <v>0</v>
      </c>
      <c r="M8" s="11"/>
    </row>
    <row r="9" spans="1:13" ht="16.5" thickBot="1" x14ac:dyDescent="0.3">
      <c r="A9" s="141" t="str">
        <f>IF(Instructions!$B$1="CZ","Tržby [Kč]","Sales [CZK]")</f>
        <v>Sales [CZK]</v>
      </c>
      <c r="B9" s="142">
        <f>B8*B5</f>
        <v>0</v>
      </c>
      <c r="C9" s="143">
        <f>C8*C5</f>
        <v>0</v>
      </c>
      <c r="D9" s="11"/>
      <c r="E9" s="11"/>
      <c r="F9" s="11"/>
      <c r="G9" s="254" t="str">
        <f>IF(Instructions!$B$1="CZ","Mimořádné výdaje","Extraordinary expenses")</f>
        <v>Extraordinary expenses</v>
      </c>
      <c r="H9" s="168">
        <f>'Q1'!H9</f>
        <v>0</v>
      </c>
      <c r="I9" s="138">
        <f>IF(B52&lt;0,B52,0)</f>
        <v>0</v>
      </c>
      <c r="J9" s="138"/>
      <c r="K9" s="169"/>
      <c r="L9" s="167">
        <f t="shared" si="0"/>
        <v>0</v>
      </c>
      <c r="M9" s="11"/>
    </row>
    <row r="10" spans="1:13" ht="16.5" thickBot="1" x14ac:dyDescent="0.3">
      <c r="A10" s="11"/>
      <c r="B10" s="11"/>
      <c r="C10" s="11"/>
      <c r="D10" s="11"/>
      <c r="E10" s="234"/>
      <c r="F10" s="234"/>
      <c r="G10" s="254" t="str">
        <f>IF(Instructions!$B$1="CZ","Daně","Taxes")</f>
        <v>Taxes</v>
      </c>
      <c r="H10" s="168">
        <f>'Q1'!H10</f>
        <v>0</v>
      </c>
      <c r="I10" s="138">
        <f>B88</f>
        <v>0</v>
      </c>
      <c r="J10" s="138"/>
      <c r="K10" s="169"/>
      <c r="L10" s="167">
        <f t="shared" si="0"/>
        <v>0</v>
      </c>
      <c r="M10" s="11"/>
    </row>
    <row r="11" spans="1:13" ht="18.75" x14ac:dyDescent="0.3">
      <c r="A11" s="373" t="str">
        <f>IF(Instructions!$B$1="CZ","VÝROBA","PRODUCTION")</f>
        <v>PRODUCTION</v>
      </c>
      <c r="B11" s="374"/>
      <c r="C11" s="375"/>
      <c r="D11" s="361"/>
      <c r="E11" s="234"/>
      <c r="F11" s="234"/>
      <c r="G11" s="254" t="str">
        <f>IF(Instructions!$B$1="CZ","Mimořádné příjmy","Extraordinary revenues")</f>
        <v>Extraordinary revenues</v>
      </c>
      <c r="H11" s="168">
        <f>'Q1'!H11</f>
        <v>0</v>
      </c>
      <c r="I11" s="138">
        <f>IF(B52&gt;0,B52,0)</f>
        <v>0</v>
      </c>
      <c r="J11" s="138"/>
      <c r="K11" s="169"/>
      <c r="L11" s="167">
        <f t="shared" si="0"/>
        <v>0</v>
      </c>
      <c r="M11" s="11"/>
    </row>
    <row r="12" spans="1:13" ht="16.5" thickBot="1" x14ac:dyDescent="0.3">
      <c r="A12" s="133" t="str">
        <f>IF(Instructions!$B$1="CZ","VÝROBEK","PRODUCT")</f>
        <v>PRODUCT</v>
      </c>
      <c r="B12" s="134" t="str">
        <f>IF(Instructions!$B$1="CZ","STOLY","DESKS")</f>
        <v>DESKS</v>
      </c>
      <c r="C12" s="135" t="str">
        <f>IF(Instructions!$B$1="CZ","SKŘÍŇKY","CABINETS")</f>
        <v>CABINETS</v>
      </c>
      <c r="D12" s="316"/>
      <c r="E12" s="316"/>
      <c r="F12" s="144"/>
      <c r="G12" s="255" t="str">
        <f>IF(Instructions!$B$1="CZ","Čistý zisk","Net results")</f>
        <v>Net results</v>
      </c>
      <c r="H12" s="172">
        <f>'Q1'!H12</f>
        <v>0</v>
      </c>
      <c r="I12" s="175">
        <f>B91</f>
        <v>0</v>
      </c>
      <c r="J12" s="175"/>
      <c r="K12" s="173"/>
      <c r="L12" s="174">
        <f>H12+I12</f>
        <v>0</v>
      </c>
      <c r="M12" s="11"/>
    </row>
    <row r="13" spans="1:13" x14ac:dyDescent="0.25">
      <c r="A13" s="137" t="str">
        <f>IF(Instructions!$B$1="CZ","Počáteční zásoba [ks]","Opening stock [pcs]")</f>
        <v>Opening stock [pcs]</v>
      </c>
      <c r="B13" s="138">
        <f>RawData!B28</f>
        <v>0</v>
      </c>
      <c r="C13" s="139">
        <f>RawData!B33</f>
        <v>0</v>
      </c>
      <c r="D13" s="130"/>
      <c r="E13" s="130"/>
      <c r="F13" s="136"/>
      <c r="G13" s="256" t="str">
        <f>IF(Instructions!$B$1="CZ","Průzkum trhu","Market survey")</f>
        <v>Market survey</v>
      </c>
      <c r="H13" s="176">
        <f>'Q1'!H13</f>
        <v>0</v>
      </c>
      <c r="I13" s="207">
        <f>B79</f>
        <v>0</v>
      </c>
      <c r="J13" s="207"/>
      <c r="K13" s="177"/>
      <c r="L13" s="163">
        <f>H13+I13</f>
        <v>0</v>
      </c>
      <c r="M13" s="11"/>
    </row>
    <row r="14" spans="1:13" x14ac:dyDescent="0.25">
      <c r="A14" s="137" t="str">
        <f>IF(Instructions!$B$1="CZ","Plánovaná výroba [ks]","Planned production [pcs]")</f>
        <v>Planned production [pcs]</v>
      </c>
      <c r="B14" s="138">
        <f>RawData!B29</f>
        <v>0</v>
      </c>
      <c r="C14" s="139">
        <f>RawData!B34</f>
        <v>0</v>
      </c>
      <c r="D14" s="131"/>
      <c r="E14" s="131"/>
      <c r="F14" s="136"/>
      <c r="G14" s="254" t="str">
        <f>IF(Instructions!$B$1="CZ","Cena stolu","Price of Desks")</f>
        <v>Price of Desks</v>
      </c>
      <c r="H14" s="168">
        <f>'Q1'!H14</f>
        <v>0</v>
      </c>
      <c r="I14" s="138">
        <f>B5</f>
        <v>0</v>
      </c>
      <c r="J14" s="138"/>
      <c r="K14" s="169"/>
      <c r="L14" s="221"/>
      <c r="M14" s="11"/>
    </row>
    <row r="15" spans="1:13" x14ac:dyDescent="0.25">
      <c r="A15" s="137" t="str">
        <f>IF(Instructions!$B$1="CZ","Skutečná výroba [ks]","Actual production [pcs]")</f>
        <v>Actual production [pcs]</v>
      </c>
      <c r="B15" s="138">
        <f>RawData!B30</f>
        <v>0</v>
      </c>
      <c r="C15" s="139">
        <f>RawData!B35</f>
        <v>0</v>
      </c>
      <c r="D15" s="130"/>
      <c r="E15" s="130"/>
      <c r="F15" s="136"/>
      <c r="G15" s="254" t="str">
        <f>IF(Instructions!$B$1="CZ","Cena skříňky","Price of cabinets")</f>
        <v>Price of cabinets</v>
      </c>
      <c r="H15" s="168">
        <f>'Q1'!H15</f>
        <v>0</v>
      </c>
      <c r="I15" s="138">
        <f>C5</f>
        <v>0</v>
      </c>
      <c r="J15" s="138"/>
      <c r="K15" s="169"/>
      <c r="L15" s="221"/>
      <c r="M15" s="11"/>
    </row>
    <row r="16" spans="1:13" ht="16.5" thickBot="1" x14ac:dyDescent="0.3">
      <c r="A16" s="141" t="str">
        <f>IF(Instructions!$B$1="CZ","Konečná zásoba [ks]","Inventory [pcs]")</f>
        <v>Inventory [pcs]</v>
      </c>
      <c r="B16" s="138">
        <f>RawData!B31</f>
        <v>0</v>
      </c>
      <c r="C16" s="139">
        <f>RawData!B36</f>
        <v>0</v>
      </c>
      <c r="D16" s="130"/>
      <c r="E16" s="130"/>
      <c r="F16" s="136"/>
      <c r="G16" s="257" t="str">
        <f>IF(Instructions!$B$1="CZ","Náklady neuspokojené poptávky","Out-of-stock costs")</f>
        <v>Out-of-stock costs</v>
      </c>
      <c r="H16" s="181">
        <f>'Q1'!H16</f>
        <v>0</v>
      </c>
      <c r="I16" s="142">
        <f>B81</f>
        <v>0</v>
      </c>
      <c r="J16" s="142"/>
      <c r="K16" s="182"/>
      <c r="L16" s="174">
        <f>H16+I16</f>
        <v>0</v>
      </c>
      <c r="M16" s="11"/>
    </row>
    <row r="17" spans="1:13" ht="16.5" thickBot="1" x14ac:dyDescent="0.3">
      <c r="A17" s="11"/>
      <c r="B17" s="11"/>
      <c r="C17" s="11"/>
      <c r="D17" s="130"/>
      <c r="E17" s="130"/>
      <c r="F17" s="130"/>
      <c r="G17" s="258" t="str">
        <f>IF(Instructions!$B$1="CZ","Počet strojů","Capacity")</f>
        <v>Capacity</v>
      </c>
      <c r="H17" s="184">
        <f>'Q1'!H17</f>
        <v>3</v>
      </c>
      <c r="I17" s="185">
        <v>3</v>
      </c>
      <c r="J17" s="185"/>
      <c r="K17" s="186"/>
      <c r="L17" s="337"/>
      <c r="M17" s="11"/>
    </row>
    <row r="18" spans="1:13" ht="18.75" x14ac:dyDescent="0.3">
      <c r="A18" s="373" t="str">
        <f>IF(Instructions!$B$1="CZ","ZÁSOBOVÁNÍ","PROCUREMENT")</f>
        <v>PROCUREMENT</v>
      </c>
      <c r="B18" s="374"/>
      <c r="C18" s="375"/>
      <c r="D18" s="241"/>
      <c r="E18" s="242"/>
      <c r="F18" s="11"/>
      <c r="G18" s="259" t="str">
        <f>IF(Instructions!$B$1="CZ","Výroba - plán [%]","Production - plan [%]")</f>
        <v>Production - plan [%]</v>
      </c>
      <c r="H18" s="226"/>
      <c r="I18" s="227"/>
      <c r="J18" s="185"/>
      <c r="K18" s="186"/>
      <c r="L18" s="187"/>
      <c r="M18" s="11"/>
    </row>
    <row r="19" spans="1:13" x14ac:dyDescent="0.25">
      <c r="A19" s="133" t="str">
        <f>IF(Instructions!$B$1="CZ","SUROVINA","RAW MATERIAL")</f>
        <v>RAW MATERIAL</v>
      </c>
      <c r="B19" s="7" t="str">
        <f>IF(Instructions!$B$1="CZ","DŘEVO","WOOD")</f>
        <v>WOOD</v>
      </c>
      <c r="C19" s="5" t="str">
        <f>IF(Instructions!$B$1="CZ","KOV","METAL")</f>
        <v>METAL</v>
      </c>
      <c r="D19" s="11"/>
      <c r="E19" s="144"/>
      <c r="F19" s="11"/>
      <c r="G19" s="259" t="str">
        <f>IF(Instructions!$B$1="CZ","Výroba - stutečnost [%]","Production - reality [%]")</f>
        <v>Production - reality [%]</v>
      </c>
      <c r="H19" s="226"/>
      <c r="I19" s="230"/>
      <c r="J19" s="246"/>
      <c r="K19" s="321"/>
      <c r="L19" s="179"/>
      <c r="M19" s="11"/>
    </row>
    <row r="20" spans="1:13" x14ac:dyDescent="0.25">
      <c r="A20" s="137" t="str">
        <f>IF(Instructions!$B$1="CZ","Počáteční zásoba [kg]","Opening stock [kg]")</f>
        <v>Opening stock [kg]</v>
      </c>
      <c r="B20" s="138">
        <f>RawData!B45</f>
        <v>0</v>
      </c>
      <c r="C20" s="139">
        <f>RawData!B51</f>
        <v>0</v>
      </c>
      <c r="D20" s="130"/>
      <c r="E20" s="237"/>
      <c r="F20" s="11"/>
      <c r="G20" s="260" t="str">
        <f>IF(Instructions!$B$1="CZ","Zaměstnanci - celkem","Employees - total")</f>
        <v>Employees - total</v>
      </c>
      <c r="H20" s="184" t="e">
        <f>'Q1'!H20</f>
        <v>#DIV/0!</v>
      </c>
      <c r="I20" s="185" t="e">
        <f>E27/E28</f>
        <v>#DIV/0!</v>
      </c>
      <c r="J20" s="185"/>
      <c r="K20" s="186"/>
      <c r="L20" s="337"/>
      <c r="M20" s="11"/>
    </row>
    <row r="21" spans="1:13" x14ac:dyDescent="0.25">
      <c r="A21" s="137" t="str">
        <f>IF(Instructions!$B$1="CZ","Nákup [kg]","Purchase [kg]")</f>
        <v>Purchase [kg]</v>
      </c>
      <c r="B21" s="138">
        <f>RawData!B46</f>
        <v>0</v>
      </c>
      <c r="C21" s="139">
        <f>RawData!B52</f>
        <v>0</v>
      </c>
      <c r="D21" s="130"/>
      <c r="E21" s="237"/>
      <c r="F21" s="11"/>
      <c r="G21" s="260" t="str">
        <f>IF(Instructions!$B$1="CZ","Zaměstnanci - aktivní","Employees - active")</f>
        <v>Employees - active</v>
      </c>
      <c r="H21" s="168" t="e">
        <f>'Q1'!H21</f>
        <v>#DIV/0!</v>
      </c>
      <c r="I21" s="165" t="e">
        <f>IF(B32&lt;90,INT(I20*0.75),IF(B32&lt;100,INT(I20*0.85),IF(B32&lt;110,INT(I20*0.95),I20)))</f>
        <v>#DIV/0!</v>
      </c>
      <c r="J21" s="185"/>
      <c r="K21" s="186"/>
      <c r="L21" s="337"/>
      <c r="M21" s="11"/>
    </row>
    <row r="22" spans="1:13" x14ac:dyDescent="0.25">
      <c r="A22" s="137" t="str">
        <f>IF(Instructions!$B$1="CZ","Cena [Kč za kg]","Price [CZK per kg]")</f>
        <v>Price [CZK per kg]</v>
      </c>
      <c r="B22" s="240">
        <f>RawData!B47</f>
        <v>0</v>
      </c>
      <c r="C22" s="239">
        <f>RawData!B53</f>
        <v>0</v>
      </c>
      <c r="D22" s="131"/>
      <c r="E22" s="238"/>
      <c r="F22" s="11"/>
      <c r="G22" s="260" t="str">
        <f>IF(Instructions!$B$1="CZ","Zaměstnanci - změna","Employees - change")</f>
        <v>Employees - change</v>
      </c>
      <c r="H22" s="168">
        <f>'Q1'!H22</f>
        <v>0</v>
      </c>
      <c r="I22" s="138" t="e">
        <f>I20-H20</f>
        <v>#DIV/0!</v>
      </c>
      <c r="J22" s="138"/>
      <c r="K22" s="169"/>
      <c r="L22" s="221"/>
      <c r="M22" s="11"/>
    </row>
    <row r="23" spans="1:13" ht="16.5" thickBot="1" x14ac:dyDescent="0.3">
      <c r="A23" s="137" t="str">
        <f>IF(Instructions!$B$1="CZ","Spotřeba [kg]","Consumption [kg]")</f>
        <v>Consumption [kg]</v>
      </c>
      <c r="B23" s="138">
        <f>RawData!B48</f>
        <v>0</v>
      </c>
      <c r="C23" s="139">
        <f>RawData!B54</f>
        <v>0</v>
      </c>
      <c r="D23" s="130"/>
      <c r="E23" s="237"/>
      <c r="F23" s="11"/>
      <c r="G23" s="260" t="str">
        <f>IF(Instructions!$B$1="CZ","Zaměstnanci - přům. náklady na pracovníka","Employees - average per employee")</f>
        <v>Employees - average per employee</v>
      </c>
      <c r="H23" s="200">
        <f>'Q1'!H23</f>
        <v>0</v>
      </c>
      <c r="I23" s="201">
        <f>E28</f>
        <v>0</v>
      </c>
      <c r="J23" s="201"/>
      <c r="K23" s="202"/>
      <c r="L23" s="217"/>
      <c r="M23" s="11"/>
    </row>
    <row r="24" spans="1:13" ht="16.5" thickBot="1" x14ac:dyDescent="0.3">
      <c r="A24" s="141" t="str">
        <f>IF(Instructions!$B$1="CZ","Konečná zásoba [kg]","Inventory [kg]")</f>
        <v>Inventory [kg]</v>
      </c>
      <c r="B24" s="138">
        <f>RawData!B49</f>
        <v>0</v>
      </c>
      <c r="C24" s="139">
        <f>RawData!B55</f>
        <v>0</v>
      </c>
      <c r="D24" s="130"/>
      <c r="E24" s="237"/>
      <c r="F24" s="11"/>
      <c r="G24" s="261" t="str">
        <f>IF(Instructions!$B$1="CZ","Nedodržení plánované výroby","Production cut-backs")</f>
        <v>Production cut-backs</v>
      </c>
      <c r="H24" s="203">
        <f>'Q1'!H24</f>
        <v>0</v>
      </c>
      <c r="I24" s="204">
        <v>0</v>
      </c>
      <c r="J24" s="204"/>
      <c r="K24" s="205"/>
      <c r="L24" s="206"/>
      <c r="M24" s="11"/>
    </row>
    <row r="25" spans="1:13" ht="16.5" thickBot="1" x14ac:dyDescent="0.3">
      <c r="A25" s="11"/>
      <c r="B25" s="11"/>
      <c r="C25" s="11"/>
      <c r="D25" s="130"/>
      <c r="E25" s="130"/>
      <c r="F25" s="11"/>
      <c r="G25" s="262" t="str">
        <f>IF(Instructions!$B$1="CZ","Suroviny - nákup","Raw materials - purchase")</f>
        <v>Raw materials - purchase</v>
      </c>
      <c r="H25" s="176">
        <f>'Q1'!H25</f>
        <v>0</v>
      </c>
      <c r="I25" s="207">
        <f>B46</f>
        <v>0</v>
      </c>
      <c r="J25" s="207"/>
      <c r="K25" s="208"/>
      <c r="L25" s="340"/>
      <c r="M25" s="11"/>
    </row>
    <row r="26" spans="1:13" ht="18.75" x14ac:dyDescent="0.3">
      <c r="A26" s="367" t="str">
        <f>IF(Instructions!$B$1="CZ","LIDSKÉ ZDROJE","HUMAN RESOURCES")</f>
        <v>HUMAN RESOURCES</v>
      </c>
      <c r="B26" s="368"/>
      <c r="C26" s="368"/>
      <c r="D26" s="368"/>
      <c r="E26" s="369"/>
      <c r="F26" s="11"/>
      <c r="G26" s="263" t="str">
        <f>IF(Instructions!$B$1="CZ","Suroviny - sleva","Raw materials - discount")</f>
        <v>Raw materials - discount</v>
      </c>
      <c r="H26" s="164">
        <f>'Q1'!H26</f>
        <v>0</v>
      </c>
      <c r="I26" s="165">
        <f>RawData!N103</f>
        <v>0</v>
      </c>
      <c r="J26" s="185"/>
      <c r="K26" s="229"/>
      <c r="L26" s="341"/>
      <c r="M26" s="11"/>
    </row>
    <row r="27" spans="1:13" x14ac:dyDescent="0.25">
      <c r="A27" s="148" t="str">
        <f>IF(Instructions!$B$1="CZ","Základní index","Base index")</f>
        <v>Base index</v>
      </c>
      <c r="B27" s="136">
        <f>RawData!B65</f>
        <v>0</v>
      </c>
      <c r="C27" s="132"/>
      <c r="D27" s="132" t="str">
        <f>IF(Instructions!$B$1="CZ","Pracovní náklady","Labour costs")</f>
        <v>Labour costs</v>
      </c>
      <c r="E27" s="331">
        <f>RawData!B71</f>
        <v>0</v>
      </c>
      <c r="F27" s="130"/>
      <c r="G27" s="264" t="str">
        <f>IF(Instructions!$B$1="CZ","Suroviny - zásoba","Raw materials - stock")</f>
        <v>Raw materials - stock</v>
      </c>
      <c r="H27" s="164">
        <f>'Q1'!H27</f>
        <v>0</v>
      </c>
      <c r="I27" s="165">
        <f>B59</f>
        <v>0</v>
      </c>
      <c r="J27" s="165"/>
      <c r="K27" s="212"/>
      <c r="L27" s="342"/>
      <c r="M27" s="11"/>
    </row>
    <row r="28" spans="1:13" ht="16.5" thickBot="1" x14ac:dyDescent="0.3">
      <c r="A28" s="148" t="str">
        <f>IF(Instructions!$B$1="CZ","Mzdový index","Wage index")</f>
        <v>Wage index</v>
      </c>
      <c r="B28" s="136">
        <f>RawData!B66</f>
        <v>0</v>
      </c>
      <c r="C28" s="132"/>
      <c r="D28" s="132" t="str">
        <f>IF(Instructions!$B$1="CZ","Prům. náklady na pracovníka","Average per employee")</f>
        <v>Average per employee</v>
      </c>
      <c r="E28" s="331">
        <f>RawData!B72</f>
        <v>0</v>
      </c>
      <c r="F28" s="11"/>
      <c r="G28" s="265" t="str">
        <f>IF(Instructions!$B$1="CZ","Suroviny - skladovací náklady","Raw materials - storage costs")</f>
        <v>Raw materials - storage costs</v>
      </c>
      <c r="H28" s="213">
        <f>'Q1'!H28</f>
        <v>0</v>
      </c>
      <c r="I28" s="146">
        <f>B82</f>
        <v>0</v>
      </c>
      <c r="J28" s="146"/>
      <c r="K28" s="147"/>
      <c r="L28" s="214"/>
      <c r="M28" s="11"/>
    </row>
    <row r="29" spans="1:13" x14ac:dyDescent="0.25">
      <c r="A29" s="148" t="str">
        <f>IF(Instructions!$B$1="CZ","Změna mzdového indexu","Change in wage level")</f>
        <v>Change in wage level</v>
      </c>
      <c r="B29" s="136">
        <f>RawData!B67</f>
        <v>0</v>
      </c>
      <c r="C29" s="132"/>
      <c r="D29" s="132"/>
      <c r="E29" s="149"/>
      <c r="F29" s="11"/>
      <c r="G29" s="266" t="str">
        <f>IF(Instructions!$B$1="CZ","Výrobky - zásoba","Products - stock")</f>
        <v>Products - stock</v>
      </c>
      <c r="H29" s="176">
        <f>'Q1'!H29</f>
        <v>0</v>
      </c>
      <c r="I29" s="207">
        <f>B60</f>
        <v>0</v>
      </c>
      <c r="J29" s="207"/>
      <c r="K29" s="177"/>
      <c r="L29" s="163"/>
      <c r="M29" s="11"/>
    </row>
    <row r="30" spans="1:13" ht="16.5" thickBot="1" x14ac:dyDescent="0.3">
      <c r="A30" s="148" t="str">
        <f>IF(Instructions!$B$1="CZ","Vzdělávání","Training")</f>
        <v>Training</v>
      </c>
      <c r="B30" s="136">
        <v>0</v>
      </c>
      <c r="C30" s="132"/>
      <c r="D30" s="132"/>
      <c r="E30" s="149"/>
      <c r="F30" s="11"/>
      <c r="G30" s="265" t="str">
        <f>IF(Instructions!$B$1="CZ","Výrobky - skladovací náklady","Products - storage costs")</f>
        <v>Products - storage costs</v>
      </c>
      <c r="H30" s="213">
        <f>'Q1'!H30</f>
        <v>0</v>
      </c>
      <c r="I30" s="146">
        <f>B83</f>
        <v>0</v>
      </c>
      <c r="J30" s="146"/>
      <c r="K30" s="216"/>
      <c r="L30" s="217"/>
      <c r="M30" s="11"/>
    </row>
    <row r="31" spans="1:13" x14ac:dyDescent="0.25">
      <c r="A31" s="148" t="str">
        <f>IF(Instructions!$B$1="CZ","Vliv kokurence","Influence of competition")</f>
        <v>Influence of competition</v>
      </c>
      <c r="B31" s="136">
        <f>RawData!B69</f>
        <v>0</v>
      </c>
      <c r="C31" s="132"/>
      <c r="D31" s="132"/>
      <c r="E31" s="149"/>
      <c r="F31" s="11"/>
      <c r="G31" s="266" t="s">
        <v>4</v>
      </c>
      <c r="H31" s="218">
        <f>'Q1'!H31</f>
        <v>0</v>
      </c>
      <c r="I31" s="219">
        <f>B32</f>
        <v>0</v>
      </c>
      <c r="J31" s="219"/>
      <c r="K31" s="220"/>
      <c r="L31" s="163"/>
      <c r="M31" s="11"/>
    </row>
    <row r="32" spans="1:13" ht="16.5" thickBot="1" x14ac:dyDescent="0.3">
      <c r="A32" s="150" t="str">
        <f>IF(Instructions!$B$1="CZ","Nový index","New index")</f>
        <v>New index</v>
      </c>
      <c r="B32" s="151">
        <f>RawData!B70</f>
        <v>0</v>
      </c>
      <c r="C32" s="152"/>
      <c r="D32" s="152"/>
      <c r="E32" s="153"/>
      <c r="F32" s="11"/>
      <c r="G32" s="259" t="str">
        <f>IF(Instructions!$B$1="CZ","Průměrný PI na trhu","PI - market average")</f>
        <v>PI - market average</v>
      </c>
      <c r="H32" s="164">
        <f>'Q1'!H32</f>
        <v>100</v>
      </c>
      <c r="I32" s="165">
        <v>100</v>
      </c>
      <c r="J32" s="145"/>
      <c r="K32" s="166"/>
      <c r="L32" s="221"/>
      <c r="M32" s="11"/>
    </row>
    <row r="33" spans="1:13" x14ac:dyDescent="0.25">
      <c r="A33" s="11"/>
      <c r="B33" s="11"/>
      <c r="C33" s="11"/>
      <c r="D33" s="11"/>
      <c r="E33" s="11"/>
      <c r="F33" s="11"/>
      <c r="G33" s="260" t="str">
        <f>IF(Instructions!$B$1="CZ","Mzdový index","Wage index")</f>
        <v>Wage index</v>
      </c>
      <c r="H33" s="168">
        <f>'Q1'!H33</f>
        <v>0</v>
      </c>
      <c r="I33" s="138">
        <f>B28</f>
        <v>0</v>
      </c>
      <c r="J33" s="138"/>
      <c r="K33" s="169"/>
      <c r="L33" s="221"/>
      <c r="M33" s="11"/>
    </row>
    <row r="34" spans="1:13" ht="19.5" thickBot="1" x14ac:dyDescent="0.35">
      <c r="A34" s="376" t="s">
        <v>7</v>
      </c>
      <c r="B34" s="376"/>
      <c r="C34" s="315"/>
      <c r="D34" s="315"/>
      <c r="E34" s="315"/>
      <c r="F34" s="11"/>
      <c r="G34" s="267" t="str">
        <f>IF(Instructions!$B$1="CZ","Vzdělávání","Training")</f>
        <v>Training</v>
      </c>
      <c r="H34" s="213">
        <f>'Q1'!H34</f>
        <v>0</v>
      </c>
      <c r="I34" s="146">
        <f>B30</f>
        <v>0</v>
      </c>
      <c r="J34" s="146"/>
      <c r="K34" s="216"/>
      <c r="L34" s="222"/>
      <c r="M34" s="11"/>
    </row>
    <row r="35" spans="1:13" x14ac:dyDescent="0.25">
      <c r="A35" s="250" t="str">
        <f>IF(Instructions!$B$1="CZ","VÝCHOZÍ STAV HOTOVOSTI","OPENING BALANCE")</f>
        <v>OPENING BALANCE</v>
      </c>
      <c r="B35" s="145">
        <f>RawData!B94</f>
        <v>0</v>
      </c>
      <c r="C35" s="11"/>
      <c r="D35" s="11"/>
      <c r="E35" s="11"/>
      <c r="F35" s="11"/>
      <c r="G35" s="262" t="str">
        <f>IF(Instructions!$B$1="CZ","Úvěry","Credits")</f>
        <v>Credits</v>
      </c>
      <c r="H35" s="184">
        <f>'Q1'!H35</f>
        <v>0</v>
      </c>
      <c r="I35" s="185">
        <f>B37</f>
        <v>0</v>
      </c>
      <c r="J35" s="185"/>
      <c r="K35" s="186"/>
      <c r="L35" s="337"/>
      <c r="M35" s="11"/>
    </row>
    <row r="36" spans="1:13" x14ac:dyDescent="0.25">
      <c r="A36" s="250" t="str">
        <f>IF(Instructions!$B$1="CZ","Tržby","Sales revenues")</f>
        <v>Sales revenues</v>
      </c>
      <c r="B36" s="145">
        <f>RawData!B95</f>
        <v>0</v>
      </c>
      <c r="C36" s="130"/>
      <c r="D36" s="11"/>
      <c r="E36" s="11"/>
      <c r="F36" s="11"/>
      <c r="G36" s="260" t="str">
        <f>IF(Instructions!$B$1="CZ","Splátky","Repayments")</f>
        <v>Repayments</v>
      </c>
      <c r="H36" s="168">
        <f>'Q1'!H36</f>
        <v>0</v>
      </c>
      <c r="I36" s="138">
        <f>B45</f>
        <v>0</v>
      </c>
      <c r="J36" s="138"/>
      <c r="K36" s="169"/>
      <c r="L36" s="221"/>
      <c r="M36" s="11"/>
    </row>
    <row r="37" spans="1:13" x14ac:dyDescent="0.25">
      <c r="A37" s="250" t="str">
        <f>IF(Instructions!$B$1="CZ","Investiční úvěry","Investment credits")</f>
        <v>Investment credits</v>
      </c>
      <c r="B37" s="145">
        <f>RawData!B96</f>
        <v>0</v>
      </c>
      <c r="C37" s="11"/>
      <c r="D37" s="11"/>
      <c r="E37" s="11"/>
      <c r="F37" s="11"/>
      <c r="G37" s="260" t="str">
        <f>IF(Instructions!$B$1="CZ","Překlenovací úvěr","Extended credit")</f>
        <v>Extended credit</v>
      </c>
      <c r="H37" s="164">
        <f>'Q1'!H37</f>
        <v>0</v>
      </c>
      <c r="I37" s="165">
        <f>B38</f>
        <v>0</v>
      </c>
      <c r="J37" s="165"/>
      <c r="K37" s="166"/>
      <c r="L37" s="221"/>
      <c r="M37" s="11"/>
    </row>
    <row r="38" spans="1:13" ht="16.5" thickBot="1" x14ac:dyDescent="0.3">
      <c r="A38" s="250" t="str">
        <f>IF(Instructions!$B$1="CZ","Překlenovací úvěr","Extended credit")</f>
        <v>Extended credit</v>
      </c>
      <c r="B38" s="145">
        <f>RawData!B97</f>
        <v>0</v>
      </c>
      <c r="C38" s="11"/>
      <c r="D38" s="11"/>
      <c r="E38" s="11"/>
      <c r="F38" s="11"/>
      <c r="G38" s="268" t="str">
        <f>IF(Instructions!$B$1="CZ","Hotovost","Cash")</f>
        <v>Cash</v>
      </c>
      <c r="H38" s="172">
        <f>'Q1'!H38</f>
        <v>0</v>
      </c>
      <c r="I38" s="175">
        <f>B54</f>
        <v>0</v>
      </c>
      <c r="J38" s="175"/>
      <c r="K38" s="173"/>
      <c r="L38" s="343"/>
      <c r="M38" s="11"/>
    </row>
    <row r="39" spans="1:13" ht="16.5" thickBot="1" x14ac:dyDescent="0.3">
      <c r="A39" s="250" t="str">
        <f>IF(Instructions!$B$1="CZ","Mimořádné příjmy","Extraordinary incomes")</f>
        <v>Extraordinary incomes</v>
      </c>
      <c r="B39" s="145">
        <f>RawData!B98</f>
        <v>0</v>
      </c>
      <c r="C39" s="11"/>
      <c r="D39" s="11"/>
      <c r="E39" s="11"/>
      <c r="G39" s="261" t="str">
        <f>IF(Instructions!$B$1="CZ","Cena akcie","Stockprice")</f>
        <v>Stockprice</v>
      </c>
      <c r="H39" s="223">
        <f>'Q1'!H39</f>
        <v>66.75</v>
      </c>
      <c r="I39" s="224">
        <f>B65</f>
        <v>0</v>
      </c>
      <c r="J39" s="224"/>
      <c r="K39" s="225"/>
      <c r="L39" s="206"/>
      <c r="M39" s="11"/>
    </row>
    <row r="40" spans="1:13" x14ac:dyDescent="0.25">
      <c r="A40" s="250" t="str">
        <f>IF(Instructions!$B$1="CZ","PŘÍJMY CELKEM","TOTAL REVENUES")</f>
        <v>TOTAL REVENUES</v>
      </c>
      <c r="B40" s="145">
        <f>RawData!B99</f>
        <v>0</v>
      </c>
      <c r="C40" s="11"/>
      <c r="D40" s="11"/>
      <c r="E40" s="11"/>
      <c r="F40" s="11"/>
      <c r="M40" s="11"/>
    </row>
    <row r="41" spans="1:13" x14ac:dyDescent="0.25">
      <c r="A41" s="250" t="str">
        <f>IF(Instructions!$B$1="CZ","Investice","Investments")</f>
        <v>Investments</v>
      </c>
      <c r="B41" s="145">
        <f>RawData!B100</f>
        <v>0</v>
      </c>
      <c r="C41" s="130"/>
      <c r="D41" s="11"/>
      <c r="E41" s="11"/>
      <c r="F41" s="11"/>
      <c r="M41" s="11"/>
    </row>
    <row r="42" spans="1:13" x14ac:dyDescent="0.25">
      <c r="A42" s="250" t="str">
        <f>IF(Instructions!$B$1="CZ","Marketingové oddělení","Marketing department")</f>
        <v>Marketing department</v>
      </c>
      <c r="B42" s="145">
        <f>RawData!B101</f>
        <v>0</v>
      </c>
      <c r="C42" s="130"/>
      <c r="D42" s="11"/>
      <c r="E42" s="11"/>
      <c r="F42" s="11"/>
      <c r="M42" s="11"/>
    </row>
    <row r="43" spans="1:13" x14ac:dyDescent="0.25">
      <c r="A43" s="250" t="str">
        <f>IF(Instructions!$B$1="CZ","Průzkumy","Market research")</f>
        <v>Market research</v>
      </c>
      <c r="B43" s="145">
        <f>RawData!B102</f>
        <v>0</v>
      </c>
      <c r="C43" s="130"/>
      <c r="D43" s="11"/>
      <c r="E43" s="11"/>
      <c r="F43" s="11"/>
      <c r="M43" s="11"/>
    </row>
    <row r="44" spans="1:13" x14ac:dyDescent="0.25">
      <c r="A44" s="250" t="str">
        <f>IF(Instructions!$B$1="CZ","Úroky","Interests")</f>
        <v>Interests</v>
      </c>
      <c r="B44" s="145">
        <f>RawData!B103</f>
        <v>0</v>
      </c>
      <c r="C44" s="130"/>
      <c r="D44" s="11"/>
      <c r="E44" s="11"/>
      <c r="F44" s="11"/>
      <c r="M44" s="11"/>
    </row>
    <row r="45" spans="1:13" x14ac:dyDescent="0.25">
      <c r="A45" s="250" t="str">
        <f>IF(Instructions!$B$1="CZ","Splátky","Repayments")</f>
        <v>Repayments</v>
      </c>
      <c r="B45" s="145">
        <f>RawData!B104</f>
        <v>0</v>
      </c>
      <c r="C45" s="130"/>
      <c r="D45" s="11"/>
      <c r="E45" s="11"/>
      <c r="F45" s="11"/>
      <c r="M45" s="11"/>
    </row>
    <row r="46" spans="1:13" x14ac:dyDescent="0.25">
      <c r="A46" s="250" t="str">
        <f>IF(Instructions!$B$1="CZ","Materiál","Material")</f>
        <v>Material</v>
      </c>
      <c r="B46" s="145">
        <f>RawData!B105</f>
        <v>0</v>
      </c>
      <c r="C46" s="130"/>
      <c r="D46" s="11"/>
      <c r="E46" s="11"/>
      <c r="F46" s="11"/>
      <c r="M46" s="11"/>
    </row>
    <row r="47" spans="1:13" x14ac:dyDescent="0.25">
      <c r="A47" s="250" t="str">
        <f>IF(Instructions!$B$1="CZ","Výroba","Production")</f>
        <v>Production</v>
      </c>
      <c r="B47" s="145">
        <f>RawData!B106</f>
        <v>0</v>
      </c>
      <c r="C47" s="130"/>
      <c r="D47" s="11"/>
      <c r="E47" s="11"/>
      <c r="F47" s="11"/>
      <c r="M47" s="11"/>
    </row>
    <row r="48" spans="1:13" x14ac:dyDescent="0.25">
      <c r="A48" s="250" t="str">
        <f>IF(Instructions!$B$1="CZ","Neuspokojená poptávka","Out-of-stock costs")</f>
        <v>Out-of-stock costs</v>
      </c>
      <c r="B48" s="145">
        <f>RawData!B107</f>
        <v>0</v>
      </c>
      <c r="C48" s="130"/>
      <c r="D48" s="11"/>
      <c r="E48" s="130"/>
      <c r="F48" s="11"/>
      <c r="M48" s="11"/>
    </row>
    <row r="49" spans="1:13" x14ac:dyDescent="0.25">
      <c r="A49" s="250" t="str">
        <f>IF(Instructions!$B$1="CZ","Skladování materiálu","Storage costs - raw materials")</f>
        <v>Storage costs - raw materials</v>
      </c>
      <c r="B49" s="145">
        <f>RawData!B108</f>
        <v>0</v>
      </c>
      <c r="C49" s="130"/>
      <c r="D49" s="11"/>
      <c r="E49" s="130"/>
      <c r="F49" s="11"/>
      <c r="M49" s="11"/>
    </row>
    <row r="50" spans="1:13" x14ac:dyDescent="0.25">
      <c r="A50" s="250" t="str">
        <f>IF(Instructions!$B$1="CZ","Skladování výrobků","Storage costs - end products")</f>
        <v>Storage costs - end products</v>
      </c>
      <c r="B50" s="145">
        <f>RawData!B109</f>
        <v>0</v>
      </c>
      <c r="C50" s="130"/>
      <c r="D50" s="11"/>
      <c r="E50" s="130"/>
      <c r="F50" s="11"/>
      <c r="M50" s="11"/>
    </row>
    <row r="51" spans="1:13" x14ac:dyDescent="0.25">
      <c r="A51" s="250" t="str">
        <f>IF(Instructions!$B$1="CZ","Daně","Taxes")</f>
        <v>Taxes</v>
      </c>
      <c r="B51" s="145">
        <f>RawData!B110</f>
        <v>0</v>
      </c>
      <c r="C51" s="11"/>
      <c r="D51" s="11"/>
      <c r="E51" s="11"/>
      <c r="F51" s="11"/>
      <c r="M51" s="11"/>
    </row>
    <row r="52" spans="1:13" x14ac:dyDescent="0.25">
      <c r="A52" s="250" t="str">
        <f>IF(Instructions!$B$1="CZ","Mimořádné výdaje","Extraordinary expenses")</f>
        <v>Extraordinary expenses</v>
      </c>
      <c r="B52" s="145">
        <f>RawData!B111</f>
        <v>0</v>
      </c>
      <c r="C52" s="11"/>
      <c r="D52" s="11"/>
      <c r="E52" s="11"/>
      <c r="F52" s="11"/>
      <c r="M52" s="11"/>
    </row>
    <row r="53" spans="1:13" x14ac:dyDescent="0.25">
      <c r="A53" s="250" t="str">
        <f>IF(Instructions!$B$1="CZ","VÝDAJE CELKEM","TOTAL EXPENSES")</f>
        <v>TOTAL EXPENSES</v>
      </c>
      <c r="B53" s="145">
        <f>RawData!B112</f>
        <v>0</v>
      </c>
      <c r="C53" s="11"/>
      <c r="D53" s="11"/>
      <c r="E53" s="130"/>
      <c r="F53" s="11"/>
      <c r="M53" s="11"/>
    </row>
    <row r="54" spans="1:13" x14ac:dyDescent="0.25">
      <c r="A54" s="250" t="str">
        <f>IF(Instructions!$B$1="CZ","KONEČNÝ STAV HOTOVOSTI","CASH BALANCE")</f>
        <v>CASH BALANCE</v>
      </c>
      <c r="B54" s="145">
        <f>B35+B40-B53</f>
        <v>0</v>
      </c>
      <c r="C54" s="11"/>
      <c r="D54" s="11"/>
      <c r="E54" s="130"/>
      <c r="F54" s="11"/>
      <c r="M54" s="11"/>
    </row>
    <row r="55" spans="1:13" ht="16.5" thickBot="1" x14ac:dyDescent="0.3">
      <c r="A55" s="11"/>
      <c r="B55" s="11"/>
      <c r="C55" s="11"/>
      <c r="D55" s="11"/>
      <c r="E55" s="130"/>
      <c r="F55" s="11"/>
      <c r="M55" s="11"/>
    </row>
    <row r="56" spans="1:13" ht="18.75" x14ac:dyDescent="0.3">
      <c r="A56" s="367" t="str">
        <f>IF(Instructions!$B$1="CZ","ROZVAHA","BALANCE SHEET")</f>
        <v>BALANCE SHEET</v>
      </c>
      <c r="B56" s="368"/>
      <c r="C56" s="368"/>
      <c r="D56" s="368"/>
      <c r="E56" s="369"/>
      <c r="F56" s="11"/>
      <c r="M56" s="11"/>
    </row>
    <row r="57" spans="1:13" x14ac:dyDescent="0.25">
      <c r="A57" s="148" t="str">
        <f>IF(Instructions!$B$1="CZ","Budovy","Buildings")</f>
        <v>Buildings</v>
      </c>
      <c r="B57" s="334">
        <f>RawData!B121</f>
        <v>0</v>
      </c>
      <c r="C57" s="132"/>
      <c r="D57" s="132" t="str">
        <f>IF(Instructions!$B$1="CZ","Vlastní kapitál","Equity")</f>
        <v>Equity</v>
      </c>
      <c r="E57" s="155">
        <f>RawData!B132</f>
        <v>0</v>
      </c>
      <c r="F57" s="11"/>
      <c r="M57" s="11"/>
    </row>
    <row r="58" spans="1:13" x14ac:dyDescent="0.25">
      <c r="A58" s="148" t="str">
        <f>IF(Instructions!$B$1="CZ","Stroje","Machines")</f>
        <v>Machines</v>
      </c>
      <c r="B58" s="334">
        <f>RawData!B122</f>
        <v>0</v>
      </c>
      <c r="C58" s="132"/>
      <c r="D58" s="132" t="str">
        <f>IF(Instructions!$B$1="CZ","Úvěry","Credits")</f>
        <v>Credits</v>
      </c>
      <c r="E58" s="155">
        <f>RawData!B133</f>
        <v>0</v>
      </c>
      <c r="F58" s="11"/>
      <c r="M58" s="11"/>
    </row>
    <row r="59" spans="1:13" x14ac:dyDescent="0.25">
      <c r="A59" s="148" t="str">
        <f>IF(Instructions!$B$1="CZ","Suroviny","Raw materials")</f>
        <v>Raw materials</v>
      </c>
      <c r="B59" s="334">
        <f>RawData!B123</f>
        <v>0</v>
      </c>
      <c r="C59" s="132"/>
      <c r="D59" s="132" t="str">
        <f>IF(Instructions!$B$1="CZ","Překlenovací úvěr","Extended credit")</f>
        <v>Extended credit</v>
      </c>
      <c r="E59" s="155">
        <f>RawData!B134</f>
        <v>0</v>
      </c>
      <c r="F59" s="11"/>
      <c r="M59" s="11"/>
    </row>
    <row r="60" spans="1:13" x14ac:dyDescent="0.25">
      <c r="A60" s="148" t="str">
        <f>IF(Instructions!$B$1="CZ","Hotové výrobky","End products")</f>
        <v>End products</v>
      </c>
      <c r="B60" s="334">
        <f>RawData!B124</f>
        <v>0</v>
      </c>
      <c r="C60" s="132"/>
      <c r="D60" s="132" t="str">
        <f>IF(Instructions!$B$1="CZ","Daně","Taxes")</f>
        <v>Taxes</v>
      </c>
      <c r="E60" s="155">
        <f>RawData!B135</f>
        <v>0</v>
      </c>
      <c r="F60" s="11"/>
      <c r="M60" s="11"/>
    </row>
    <row r="61" spans="1:13" x14ac:dyDescent="0.25">
      <c r="A61" s="148" t="str">
        <f>IF(Instructions!$B$1="CZ","Hotovost","Cash")</f>
        <v>Cash</v>
      </c>
      <c r="B61" s="334">
        <f>RawData!B125</f>
        <v>0</v>
      </c>
      <c r="C61" s="132"/>
      <c r="D61" s="132"/>
      <c r="E61" s="80"/>
      <c r="F61" s="11"/>
      <c r="M61" s="11"/>
    </row>
    <row r="62" spans="1:13" ht="16.5" thickBot="1" x14ac:dyDescent="0.3">
      <c r="A62" s="150" t="str">
        <f>IF(Instructions!$B$1="CZ","CELKEM","TOTAL")</f>
        <v>TOTAL</v>
      </c>
      <c r="B62" s="335">
        <f>B57+B58+B59+B60+B61</f>
        <v>0</v>
      </c>
      <c r="C62" s="152"/>
      <c r="D62" s="152" t="str">
        <f>IF(Instructions!$B$1="CZ","CELKEM","TOTAL")</f>
        <v>TOTAL</v>
      </c>
      <c r="E62" s="170">
        <f>E57+E58+E59+E60</f>
        <v>0</v>
      </c>
      <c r="F62" s="11"/>
      <c r="M62" s="11"/>
    </row>
    <row r="63" spans="1:13" ht="16.5" thickBot="1" x14ac:dyDescent="0.3">
      <c r="A63" s="11"/>
      <c r="B63" s="11"/>
      <c r="C63" s="11"/>
      <c r="D63" s="11"/>
      <c r="E63" s="130"/>
      <c r="F63" s="11"/>
      <c r="M63" s="11"/>
    </row>
    <row r="64" spans="1:13" ht="18.75" x14ac:dyDescent="0.3">
      <c r="A64" s="367" t="s">
        <v>26</v>
      </c>
      <c r="B64" s="369"/>
      <c r="C64" s="11"/>
      <c r="D64" s="130"/>
      <c r="E64" s="11"/>
      <c r="F64" s="11"/>
      <c r="M64" s="11"/>
    </row>
    <row r="65" spans="1:13" x14ac:dyDescent="0.25">
      <c r="A65" s="137" t="str">
        <f>Instructions!B5</f>
        <v>Firm</v>
      </c>
      <c r="B65" s="319">
        <f>RawData!B139</f>
        <v>0</v>
      </c>
      <c r="C65" s="11"/>
      <c r="D65" s="11"/>
      <c r="E65" s="11"/>
      <c r="F65" s="11"/>
      <c r="M65" s="11"/>
    </row>
    <row r="66" spans="1:13" x14ac:dyDescent="0.25">
      <c r="A66" s="137" t="s">
        <v>27</v>
      </c>
      <c r="B66" s="319">
        <f>RawData!B145</f>
        <v>0</v>
      </c>
      <c r="C66" s="11"/>
      <c r="D66" s="11"/>
      <c r="E66" s="11"/>
      <c r="F66" s="11"/>
      <c r="M66" s="130"/>
    </row>
    <row r="67" spans="1:13" x14ac:dyDescent="0.25">
      <c r="A67" s="137" t="s">
        <v>28</v>
      </c>
      <c r="B67" s="319">
        <f>RawData!B146</f>
        <v>0</v>
      </c>
      <c r="C67" s="11"/>
      <c r="D67" s="11"/>
      <c r="E67" s="11"/>
      <c r="F67" s="11"/>
      <c r="M67" s="11"/>
    </row>
    <row r="68" spans="1:13" x14ac:dyDescent="0.25">
      <c r="A68" s="137" t="s">
        <v>29</v>
      </c>
      <c r="B68" s="319">
        <f>RawData!B147</f>
        <v>0</v>
      </c>
      <c r="C68" s="11"/>
      <c r="D68" s="11"/>
      <c r="E68" s="11"/>
      <c r="F68" s="11"/>
      <c r="M68" s="11"/>
    </row>
    <row r="69" spans="1:13" ht="16.5" thickBot="1" x14ac:dyDescent="0.3">
      <c r="A69" s="141" t="s">
        <v>30</v>
      </c>
      <c r="B69" s="320">
        <f>RawData!B148</f>
        <v>0</v>
      </c>
      <c r="C69" s="11"/>
      <c r="D69" s="11"/>
      <c r="E69" s="11"/>
      <c r="F69" s="11"/>
      <c r="M69" s="11"/>
    </row>
    <row r="70" spans="1:13" ht="16.5" thickBot="1" x14ac:dyDescent="0.3">
      <c r="A70" s="11"/>
      <c r="B70" s="11"/>
      <c r="C70" s="11"/>
      <c r="D70" s="11"/>
      <c r="E70" s="11"/>
      <c r="F70" s="11"/>
      <c r="M70" s="11"/>
    </row>
    <row r="71" spans="1:13" ht="19.5" thickBot="1" x14ac:dyDescent="0.35">
      <c r="A71" s="371" t="str">
        <f>IF(Instructions!$B$1="CZ","VÝKAZ ZISKŮ A ZTRÁT","PROFIT AND LOSS ACCOUNT")</f>
        <v>PROFIT AND LOSS ACCOUNT</v>
      </c>
      <c r="B71" s="372"/>
      <c r="C71" s="11"/>
      <c r="D71" s="11"/>
      <c r="E71" s="11"/>
      <c r="F71" s="11"/>
      <c r="G71" s="134" t="str">
        <f>IF(Instructions!$B$1="CZ","Ziskovost-STOLY","Profitability-DESKS")</f>
        <v>Profitability-DESKS</v>
      </c>
      <c r="H71" s="134" t="str">
        <f>IF(Instructions!$B$1="CZ","SKŘÍŇKY","CABINETS")</f>
        <v>CABINETS</v>
      </c>
      <c r="M71" s="11"/>
    </row>
    <row r="72" spans="1:13" x14ac:dyDescent="0.25">
      <c r="A72" s="178" t="str">
        <f>IF(Instructions!$B$1="CZ","Tržby","Sales revenues")</f>
        <v>Sales revenues</v>
      </c>
      <c r="B72" s="330">
        <f>RawData!B170</f>
        <v>0</v>
      </c>
      <c r="C72" s="11"/>
      <c r="D72" s="130"/>
      <c r="E72" s="11"/>
      <c r="F72" s="11"/>
      <c r="G72" s="66">
        <f>B9</f>
        <v>0</v>
      </c>
      <c r="H72" s="66">
        <f>C9</f>
        <v>0</v>
      </c>
      <c r="M72" s="11"/>
    </row>
    <row r="73" spans="1:13" x14ac:dyDescent="0.25">
      <c r="A73" s="148" t="str">
        <f>IF(Instructions!$B$1="CZ","Náklady prodaných výrobků","Costs of goods sold")</f>
        <v>Costs of goods sold</v>
      </c>
      <c r="B73" s="331">
        <f>RawData!B171</f>
        <v>0</v>
      </c>
      <c r="C73" s="130"/>
      <c r="D73" s="130"/>
      <c r="E73" s="11"/>
      <c r="F73" s="11"/>
      <c r="G73" s="66" t="e">
        <f>SUM(G74:G76)</f>
        <v>#DIV/0!</v>
      </c>
      <c r="H73" s="66" t="e">
        <f>SUM(H74:H76)</f>
        <v>#DIV/0!</v>
      </c>
      <c r="M73" s="11"/>
    </row>
    <row r="74" spans="1:13" x14ac:dyDescent="0.25">
      <c r="A74" s="148" t="str">
        <f>IF(Instructions!$B$1="CZ","   Suroviny prodaných výrobků","   Raw materials in sold products")</f>
        <v xml:space="preserve">   Raw materials in sold products</v>
      </c>
      <c r="B74" s="180">
        <f>RawData!B172</f>
        <v>0</v>
      </c>
      <c r="C74" s="130"/>
      <c r="D74" s="130"/>
      <c r="E74" s="130"/>
      <c r="F74" s="11"/>
      <c r="G74" s="66">
        <f>'Q1'!B20*Data!F9+Data!F10*'Q1'!C20+(B8*Data!F15-'Q1'!B20)*'Q1'!B22+(B8*Data!F16-'Q1'!C20)*'Q1'!C22</f>
        <v>0</v>
      </c>
      <c r="H74" s="66">
        <f>('Q1'!C13-'Q1'!C8)*(Data!G15*Data!F9+Data!F10*Data!G16)+(C8-'Q1'!C13+'Q1'!C8)*('Q1'!B22*Data!G15+Data!G16*'Q1'!C22)</f>
        <v>0</v>
      </c>
      <c r="M74" s="11"/>
    </row>
    <row r="75" spans="1:13" x14ac:dyDescent="0.25">
      <c r="A75" s="148" t="str">
        <f>IF(Instructions!$B$1="CZ","   Výrobní náklady","   Production costs")</f>
        <v xml:space="preserve">   Production costs</v>
      </c>
      <c r="B75" s="180">
        <f>RawData!B173</f>
        <v>0</v>
      </c>
      <c r="C75" s="130"/>
      <c r="D75" s="11"/>
      <c r="E75" s="130"/>
      <c r="F75" s="11"/>
      <c r="G75" s="66" t="e">
        <f>B8/(B8+C8)*B75</f>
        <v>#DIV/0!</v>
      </c>
      <c r="H75" s="66" t="e">
        <f>C8/(B8+C8)*B75</f>
        <v>#DIV/0!</v>
      </c>
      <c r="M75" s="11"/>
    </row>
    <row r="76" spans="1:13" x14ac:dyDescent="0.25">
      <c r="A76" s="178" t="str">
        <f>IF(Instructions!$B$1="CZ","   Změna stavu zásob výrobků","   Change of stock - end products")</f>
        <v xml:space="preserve">   Change of stock - end products</v>
      </c>
      <c r="B76" s="188">
        <f>RawData!B174</f>
        <v>0</v>
      </c>
      <c r="C76" s="130"/>
      <c r="D76" s="363"/>
      <c r="E76" s="11"/>
      <c r="F76" s="11"/>
      <c r="G76" s="66">
        <f>(B13-B16)*Data!B9</f>
        <v>0</v>
      </c>
      <c r="H76" s="66">
        <f>(C13-C16)*Data!B10</f>
        <v>0</v>
      </c>
      <c r="M76" s="11"/>
    </row>
    <row r="77" spans="1:13" ht="16.5" thickBot="1" x14ac:dyDescent="0.3">
      <c r="A77" s="150" t="str">
        <f>IF(Instructions!$B$1="CZ","Hrubý zisk","Gross result")</f>
        <v>Gross result</v>
      </c>
      <c r="B77" s="332">
        <f>RawData!B175</f>
        <v>0</v>
      </c>
      <c r="C77" s="130"/>
      <c r="D77" s="130"/>
      <c r="E77" s="130"/>
      <c r="F77" s="11"/>
      <c r="G77" s="66" t="e">
        <f>G72-G73</f>
        <v>#DIV/0!</v>
      </c>
      <c r="H77" s="66" t="e">
        <f>H72-H73</f>
        <v>#DIV/0!</v>
      </c>
      <c r="M77" s="11"/>
    </row>
    <row r="78" spans="1:13" x14ac:dyDescent="0.25">
      <c r="A78" s="148" t="str">
        <f>IF(Instructions!$B$1="CZ","Nepřímé náklady","Indirect costs")</f>
        <v>Indirect costs</v>
      </c>
      <c r="B78" s="331">
        <f>RawData!B176</f>
        <v>0</v>
      </c>
      <c r="C78" s="11"/>
      <c r="D78" s="130"/>
      <c r="E78" s="130"/>
      <c r="F78" s="11"/>
      <c r="G78" s="66" t="e">
        <f>SUM(G79:G83)</f>
        <v>#DIV/0!</v>
      </c>
      <c r="H78" s="66" t="e">
        <f>SUM(H79:H83)</f>
        <v>#DIV/0!</v>
      </c>
      <c r="M78" s="11"/>
    </row>
    <row r="79" spans="1:13" x14ac:dyDescent="0.25">
      <c r="A79" s="148" t="str">
        <f>IF(Instructions!$B$1="CZ","   Průzkum trhu","   Market survey")</f>
        <v xml:space="preserve">   Market survey</v>
      </c>
      <c r="B79" s="331">
        <f>RawData!B177</f>
        <v>0</v>
      </c>
      <c r="C79" s="11"/>
      <c r="D79" s="130"/>
      <c r="E79" s="130"/>
      <c r="F79" s="11"/>
      <c r="G79" s="66" t="e">
        <f>B8/(B8+C8)*B79</f>
        <v>#DIV/0!</v>
      </c>
      <c r="H79" s="66" t="e">
        <f>C8/(B8+C8)*B79</f>
        <v>#DIV/0!</v>
      </c>
      <c r="M79" s="11"/>
    </row>
    <row r="80" spans="1:13" x14ac:dyDescent="0.25">
      <c r="A80" s="148" t="str">
        <f>IF(Instructions!$B$1="CZ","   Marketingové oddělení","   Sales staff")</f>
        <v xml:space="preserve">   Sales staff</v>
      </c>
      <c r="B80" s="331">
        <f>RawData!B178</f>
        <v>0</v>
      </c>
      <c r="C80" s="11"/>
      <c r="D80" s="362"/>
      <c r="E80" s="362"/>
      <c r="F80" s="11"/>
      <c r="G80" s="66" t="e">
        <f>B8/(B8+C8)*B80</f>
        <v>#DIV/0!</v>
      </c>
      <c r="H80" s="66" t="e">
        <f>C8/(B8+C8)*B80</f>
        <v>#DIV/0!</v>
      </c>
      <c r="M80" s="11"/>
    </row>
    <row r="81" spans="1:13" x14ac:dyDescent="0.25">
      <c r="A81" s="148" t="str">
        <f>IF(Instructions!$B$1="CZ","   Náklady neuspokojené poptávky","   Out-of-stock costs")</f>
        <v xml:space="preserve">   Out-of-stock costs</v>
      </c>
      <c r="B81" s="331">
        <f>RawData!B179</f>
        <v>0</v>
      </c>
      <c r="C81" s="11"/>
      <c r="D81" s="130"/>
      <c r="E81" s="130"/>
      <c r="F81" s="11"/>
      <c r="G81" s="66">
        <f>IF(AND(B5&lt;1300,B8-B7&lt;0),(B7-B8)*25,0)</f>
        <v>0</v>
      </c>
      <c r="H81" s="66">
        <f>IF(AND(C5&lt;2800,C8-C7&lt;0),(C7-C8)*50,0)</f>
        <v>0</v>
      </c>
      <c r="M81" s="11"/>
    </row>
    <row r="82" spans="1:13" x14ac:dyDescent="0.25">
      <c r="A82" s="148" t="str">
        <f>IF(Instructions!$B$1="CZ","   Skladovací náklady - suroviny","   Storage costs - raw materials")</f>
        <v xml:space="preserve">   Storage costs - raw materials</v>
      </c>
      <c r="B82" s="331">
        <f>RawData!B180</f>
        <v>0</v>
      </c>
      <c r="C82" s="11"/>
      <c r="D82" s="11"/>
      <c r="E82" s="11"/>
      <c r="F82" s="11"/>
      <c r="G82" s="66" t="e">
        <f>B8/(B8+C8)*B82</f>
        <v>#DIV/0!</v>
      </c>
      <c r="H82" s="66" t="e">
        <f>C8/(B8+C8)*B82</f>
        <v>#DIV/0!</v>
      </c>
      <c r="M82" s="11"/>
    </row>
    <row r="83" spans="1:13" x14ac:dyDescent="0.25">
      <c r="A83" s="178" t="str">
        <f>IF(Instructions!$B$1="CZ","   Skladovací náklady - výrobky","   Storage costs - end products")</f>
        <v xml:space="preserve">   Storage costs - end products</v>
      </c>
      <c r="B83" s="188">
        <f>RawData!B181</f>
        <v>0</v>
      </c>
      <c r="C83" s="11"/>
      <c r="D83" s="11"/>
      <c r="E83" s="11"/>
      <c r="F83" s="11"/>
      <c r="G83" s="66">
        <f>B16*Data!F3</f>
        <v>0</v>
      </c>
      <c r="H83" s="66">
        <f>C16*Data!F3</f>
        <v>0</v>
      </c>
      <c r="M83" s="11"/>
    </row>
    <row r="84" spans="1:13" ht="16.5" thickBot="1" x14ac:dyDescent="0.3">
      <c r="A84" s="148" t="str">
        <f>IF(Instructions!$B$1="CZ","Provozní zisk","Operating result")</f>
        <v>Operating result</v>
      </c>
      <c r="B84" s="331">
        <f>RawData!B182</f>
        <v>0</v>
      </c>
      <c r="C84" s="11"/>
      <c r="D84" s="358"/>
      <c r="E84" s="11"/>
      <c r="F84" s="11"/>
      <c r="G84" s="66" t="e">
        <f>G77-G78</f>
        <v>#DIV/0!</v>
      </c>
      <c r="H84" s="66" t="e">
        <f>H77-H78</f>
        <v>#DIV/0!</v>
      </c>
      <c r="M84" s="11"/>
    </row>
    <row r="85" spans="1:13" x14ac:dyDescent="0.25">
      <c r="A85" s="211" t="str">
        <f>IF(Instructions!$B$1="CZ","Zaplacené úroky","Capital costs")</f>
        <v>Capital costs</v>
      </c>
      <c r="B85" s="333">
        <f>RawData!B183</f>
        <v>0</v>
      </c>
      <c r="C85" s="11"/>
      <c r="D85" s="358"/>
      <c r="E85" s="11"/>
      <c r="F85" s="11"/>
      <c r="G85" s="66" t="e">
        <f>B8/(B8+C8)*B85</f>
        <v>#DIV/0!</v>
      </c>
      <c r="H85" s="66" t="e">
        <f>C8/(B8+C8)*B85</f>
        <v>#DIV/0!</v>
      </c>
      <c r="M85" s="11"/>
    </row>
    <row r="86" spans="1:13" x14ac:dyDescent="0.25">
      <c r="A86" s="148" t="str">
        <f>IF(Instructions!$B$1="CZ","Mimořádné výdaje","Extraordinary expenses")</f>
        <v>Extraordinary expenses</v>
      </c>
      <c r="B86" s="331">
        <f>RawData!B184</f>
        <v>0</v>
      </c>
      <c r="C86" s="11"/>
      <c r="D86" s="11"/>
      <c r="E86" s="11"/>
      <c r="F86" s="11"/>
      <c r="G86" s="66" t="e">
        <f>B8/(B8+C8)*B86</f>
        <v>#DIV/0!</v>
      </c>
      <c r="H86" s="66" t="e">
        <f>C8/(B8+C8)*B86</f>
        <v>#DIV/0!</v>
      </c>
      <c r="M86" s="11"/>
    </row>
    <row r="87" spans="1:13" x14ac:dyDescent="0.25">
      <c r="A87" s="148" t="str">
        <f>IF(Instructions!$B$1="CZ","Zisk z provozní činnosti před zdaněním","Normal operating result before tax")</f>
        <v>Normal operating result before tax</v>
      </c>
      <c r="B87" s="331">
        <f>RawData!B185</f>
        <v>0</v>
      </c>
      <c r="C87" s="11"/>
      <c r="D87" s="11"/>
      <c r="E87" s="11"/>
      <c r="F87" s="11"/>
      <c r="G87" s="66" t="e">
        <f>G84-G85-G86</f>
        <v>#DIV/0!</v>
      </c>
      <c r="H87" s="66" t="e">
        <f>H84-H85-H86</f>
        <v>#DIV/0!</v>
      </c>
      <c r="M87" s="11"/>
    </row>
    <row r="88" spans="1:13" x14ac:dyDescent="0.25">
      <c r="A88" s="148" t="str">
        <f>IF(Instructions!$B$1="CZ","Daně","Taxes")</f>
        <v>Taxes</v>
      </c>
      <c r="B88" s="331">
        <f>RawData!B186</f>
        <v>0</v>
      </c>
      <c r="C88" s="11"/>
      <c r="D88" s="11"/>
      <c r="E88" s="11"/>
      <c r="F88" s="11"/>
      <c r="M88" s="11"/>
    </row>
    <row r="89" spans="1:13" x14ac:dyDescent="0.25">
      <c r="A89" s="178" t="str">
        <f>IF(Instructions!$B$1="CZ","Zisk z provozní činnosti po zdanění","Normal operating result after tax")</f>
        <v>Normal operating result after tax</v>
      </c>
      <c r="B89" s="330">
        <f>RawData!B187</f>
        <v>0</v>
      </c>
      <c r="C89" s="215"/>
      <c r="D89" s="11"/>
      <c r="E89" s="11"/>
      <c r="F89" s="11"/>
      <c r="M89" s="11"/>
    </row>
    <row r="90" spans="1:13" x14ac:dyDescent="0.25">
      <c r="A90" s="148" t="str">
        <f>IF(Instructions!$B$1="CZ","Mimořádné příjmy","Extraordinary revenues")</f>
        <v>Extraordinary revenues</v>
      </c>
      <c r="B90" s="331">
        <f>RawData!B188</f>
        <v>0</v>
      </c>
      <c r="C90" s="215"/>
      <c r="D90" s="11"/>
      <c r="E90" s="11"/>
      <c r="F90" s="11"/>
      <c r="M90" s="11"/>
    </row>
    <row r="91" spans="1:13" ht="16.5" thickBot="1" x14ac:dyDescent="0.3">
      <c r="A91" s="150" t="str">
        <f>IF(Instructions!$B$1="CZ","Celkový čistý zisk","Net result")</f>
        <v>Net result</v>
      </c>
      <c r="B91" s="332">
        <f>RawData!B189</f>
        <v>0</v>
      </c>
      <c r="C91" s="11"/>
      <c r="D91" s="11"/>
      <c r="E91" s="11"/>
      <c r="F91" s="11"/>
      <c r="M91" s="11"/>
    </row>
    <row r="92" spans="1:13" x14ac:dyDescent="0.25">
      <c r="A92" s="11"/>
      <c r="B92" s="11"/>
      <c r="C92" s="11"/>
      <c r="D92" s="11"/>
      <c r="E92" s="11"/>
      <c r="F92" s="11"/>
      <c r="M92" s="11"/>
    </row>
    <row r="93" spans="1:13" x14ac:dyDescent="0.25">
      <c r="A93" s="11"/>
      <c r="B93" s="11"/>
      <c r="C93" s="11"/>
      <c r="D93" s="11"/>
      <c r="E93" s="11"/>
      <c r="F93" s="11"/>
      <c r="M93" s="11"/>
    </row>
  </sheetData>
  <mergeCells count="10">
    <mergeCell ref="A71:B71"/>
    <mergeCell ref="A56:E56"/>
    <mergeCell ref="G1:L1"/>
    <mergeCell ref="A18:C18"/>
    <mergeCell ref="A26:E26"/>
    <mergeCell ref="A34:B34"/>
    <mergeCell ref="A3:C3"/>
    <mergeCell ref="A11:C11"/>
    <mergeCell ref="A64:B64"/>
    <mergeCell ref="A1:E1"/>
  </mergeCells>
  <pageMargins left="0.78740157499999996" right="0.78740157499999996" top="0.984251969" bottom="0.984251969" header="0.4921259845" footer="0.4921259845"/>
  <pageSetup paperSize="9" scale="77" orientation="portrait" r:id="rId1"/>
  <headerFooter alignWithMargins="0">
    <oddHeader>&amp;R5. KOLO</oddHeader>
    <oddFooter>Stránka &amp;P</oddFooter>
  </headerFooter>
  <rowBreaks count="1" manualBreakCount="1">
    <brk id="55" max="11" man="1"/>
  </rowBreaks>
  <colBreaks count="1" manualBreakCount="1">
    <brk id="5" max="9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96"/>
  <sheetViews>
    <sheetView workbookViewId="0">
      <selection sqref="A1:E1"/>
    </sheetView>
  </sheetViews>
  <sheetFormatPr defaultColWidth="8.875" defaultRowHeight="15.75" x14ac:dyDescent="0.25"/>
  <cols>
    <col min="1" max="1" width="37.125" bestFit="1" customWidth="1"/>
    <col min="2" max="2" width="12.125" bestFit="1" customWidth="1"/>
    <col min="3" max="3" width="12.625" bestFit="1" customWidth="1"/>
    <col min="4" max="4" width="25" bestFit="1" customWidth="1"/>
    <col min="5" max="5" width="10.125" customWidth="1"/>
    <col min="7" max="7" width="38.125" bestFit="1" customWidth="1"/>
    <col min="8" max="8" width="10.625" customWidth="1"/>
    <col min="9" max="9" width="13.375" bestFit="1" customWidth="1"/>
    <col min="10" max="12" width="10.625" customWidth="1"/>
  </cols>
  <sheetData>
    <row r="1" spans="1:13" ht="18.75" x14ac:dyDescent="0.3">
      <c r="A1" s="370" t="str">
        <f>IF(Instructions!$B$1="CZ",CONCATENATE("FINANČNÍ VÝSLEDKY FIRMY ",Instructions!$B$5),CONCATENATE("FINANCIAL RESULTS FOR COMPANY ",Instructions!$B$5))</f>
        <v>FINANCIAL RESULTS FOR COMPANY Firm</v>
      </c>
      <c r="B1" s="370"/>
      <c r="C1" s="370"/>
      <c r="D1" s="370"/>
      <c r="E1" s="370"/>
      <c r="F1" s="11"/>
      <c r="G1" s="370" t="str">
        <f>IF(Instructions!$B$1="CZ",CONCATENATE("ROČNÍ SOUHRN FIRMY ",Instructions!$B$5),CONCATENATE("FOUR-QUARTER SURVEY FOR COMPANY ",Instructions!$B$5))</f>
        <v>FOUR-QUARTER SURVEY FOR COMPANY Firm</v>
      </c>
      <c r="H1" s="370"/>
      <c r="I1" s="370"/>
      <c r="J1" s="370"/>
      <c r="K1" s="370"/>
      <c r="L1" s="370"/>
      <c r="M1" s="11"/>
    </row>
    <row r="2" spans="1:13" ht="16.5" thickBot="1" x14ac:dyDescent="0.3">
      <c r="A2" s="11"/>
      <c r="B2" s="11"/>
      <c r="C2" s="11"/>
      <c r="D2" s="11"/>
      <c r="E2" s="11"/>
      <c r="F2" s="11"/>
      <c r="G2" s="11"/>
      <c r="H2" s="11"/>
      <c r="I2" s="11"/>
      <c r="J2" s="11"/>
      <c r="K2" s="11"/>
      <c r="L2" s="11"/>
      <c r="M2" s="11"/>
    </row>
    <row r="3" spans="1:13" ht="19.5" thickBot="1" x14ac:dyDescent="0.35">
      <c r="A3" s="373" t="str">
        <f>IF(Instructions!$B$1="CZ","MARKETING A PRODEJ","MARKETING AND SALES")</f>
        <v>MARKETING AND SALES</v>
      </c>
      <c r="B3" s="374"/>
      <c r="C3" s="375"/>
      <c r="D3" s="270" t="str">
        <f>IF(Instructions!$B$1="CZ","Čtvrtletí:","Quarter: ")</f>
        <v xml:space="preserve">Quarter: </v>
      </c>
      <c r="E3" s="280">
        <v>1</v>
      </c>
      <c r="F3" s="11"/>
      <c r="G3" s="252" t="str">
        <f>IF(Instructions!$B$1="CZ","ČTVRTLETÍ","QUARTER")</f>
        <v>QUARTER</v>
      </c>
      <c r="H3" s="157" t="s">
        <v>15</v>
      </c>
      <c r="I3" s="158" t="s">
        <v>16</v>
      </c>
      <c r="J3" s="158" t="s">
        <v>11</v>
      </c>
      <c r="K3" s="159" t="s">
        <v>12</v>
      </c>
      <c r="L3" s="156" t="str">
        <f>IF(Instructions!$B$1="CZ","CELKEM","TOTAL")</f>
        <v>TOTAL</v>
      </c>
      <c r="M3" s="11"/>
    </row>
    <row r="4" spans="1:13" x14ac:dyDescent="0.25">
      <c r="A4" s="133" t="str">
        <f>IF(Instructions!$B$1="CZ","PRODUKT","PRODUCT")</f>
        <v>PRODUCT</v>
      </c>
      <c r="B4" s="134" t="str">
        <f>IF(Instructions!$B$1="CZ","STOLY","DESKS")</f>
        <v>DESKS</v>
      </c>
      <c r="C4" s="135" t="str">
        <f>IF(Instructions!$B$1="CZ","SKŘÍŇKY","CABINETS")</f>
        <v>CABINETS</v>
      </c>
      <c r="D4" s="11"/>
      <c r="E4" s="11"/>
      <c r="F4" s="11"/>
      <c r="G4" s="253" t="str">
        <f>IF(Instructions!$B$1="CZ","Tržby","Sales")</f>
        <v>Sales</v>
      </c>
      <c r="H4" s="160">
        <f>B72</f>
        <v>0</v>
      </c>
      <c r="I4" s="161"/>
      <c r="J4" s="161"/>
      <c r="K4" s="162"/>
      <c r="L4" s="163">
        <f t="shared" ref="L4:L10" si="0">H4</f>
        <v>0</v>
      </c>
      <c r="M4" s="11"/>
    </row>
    <row r="5" spans="1:13" x14ac:dyDescent="0.25">
      <c r="A5" s="137" t="str">
        <f>IF(Instructions!$B$1="CZ","Cena [Kč za ks]","Price [CZK per piece]")</f>
        <v>Price [CZK per piece]</v>
      </c>
      <c r="B5" s="138">
        <f>RawData!A10</f>
        <v>0</v>
      </c>
      <c r="C5" s="139">
        <f>RawData!A16</f>
        <v>0</v>
      </c>
      <c r="D5" s="11"/>
      <c r="E5" s="11"/>
      <c r="F5" s="11"/>
      <c r="G5" s="254" t="str">
        <f>IF(Instructions!$B$1="CZ","Náklady prodaných výrobků","Costs of goods sold")</f>
        <v>Costs of goods sold</v>
      </c>
      <c r="H5" s="164">
        <f>B73</f>
        <v>0</v>
      </c>
      <c r="I5" s="165"/>
      <c r="J5" s="165"/>
      <c r="K5" s="166"/>
      <c r="L5" s="167">
        <f t="shared" si="0"/>
        <v>0</v>
      </c>
      <c r="M5" s="11"/>
    </row>
    <row r="6" spans="1:13" x14ac:dyDescent="0.25">
      <c r="A6" s="137" t="str">
        <f>IF(Instructions!$B$1="CZ","Nabídka [ks]","Offer [pcs]")</f>
        <v>Offer [pcs]</v>
      </c>
      <c r="B6" s="138">
        <f>RawData!A11</f>
        <v>0</v>
      </c>
      <c r="C6" s="139">
        <f>RawData!A17</f>
        <v>0</v>
      </c>
      <c r="D6" s="377"/>
      <c r="E6" s="378"/>
      <c r="F6" s="11"/>
      <c r="G6" s="254" t="str">
        <f>IF(Instructions!$B$1="CZ","Nepřímé náklady","Indirect costs")</f>
        <v>Indirect costs</v>
      </c>
      <c r="H6" s="168">
        <f>B78</f>
        <v>0</v>
      </c>
      <c r="I6" s="138"/>
      <c r="J6" s="138"/>
      <c r="K6" s="169"/>
      <c r="L6" s="167">
        <f t="shared" si="0"/>
        <v>0</v>
      </c>
      <c r="M6" s="11"/>
    </row>
    <row r="7" spans="1:13" x14ac:dyDescent="0.25">
      <c r="A7" s="137" t="str">
        <f>IF(Instructions!$B$1="CZ","Potenciální prodej [ks]","Potential sales [pcs]")</f>
        <v>Potential sales [pcs]</v>
      </c>
      <c r="B7" s="138">
        <f>RawData!A12</f>
        <v>0</v>
      </c>
      <c r="C7" s="139">
        <f>RawData!A18</f>
        <v>0</v>
      </c>
      <c r="D7" s="269"/>
      <c r="E7" s="269"/>
      <c r="F7" s="11"/>
      <c r="G7" s="254" t="str">
        <f>IF(Instructions!$B$1="CZ","Provozní zisk","Operating result")</f>
        <v>Operating result</v>
      </c>
      <c r="H7" s="168">
        <f>B84</f>
        <v>0</v>
      </c>
      <c r="I7" s="138"/>
      <c r="J7" s="138"/>
      <c r="K7" s="169"/>
      <c r="L7" s="167">
        <f t="shared" si="0"/>
        <v>0</v>
      </c>
      <c r="M7" s="11"/>
    </row>
    <row r="8" spans="1:13" x14ac:dyDescent="0.25">
      <c r="A8" s="137" t="str">
        <f>IF(Instructions!$B$1="CZ","Skutečný prodej [ks]","Actual sales [pcs]")</f>
        <v>Actual sales [pcs]</v>
      </c>
      <c r="B8" s="138">
        <f>RawData!A13</f>
        <v>0</v>
      </c>
      <c r="C8" s="139">
        <f>RawData!A19</f>
        <v>0</v>
      </c>
      <c r="D8" s="136"/>
      <c r="E8" s="136"/>
      <c r="F8" s="11"/>
      <c r="G8" s="254" t="str">
        <f>IF(Instructions!$B$1="CZ","Úroky","Capital costs")</f>
        <v>Capital costs</v>
      </c>
      <c r="H8" s="168">
        <f>B44</f>
        <v>0</v>
      </c>
      <c r="I8" s="138"/>
      <c r="J8" s="138"/>
      <c r="K8" s="169"/>
      <c r="L8" s="167">
        <f t="shared" si="0"/>
        <v>0</v>
      </c>
      <c r="M8" s="11"/>
    </row>
    <row r="9" spans="1:13" ht="16.5" thickBot="1" x14ac:dyDescent="0.3">
      <c r="A9" s="141" t="str">
        <f>IF(Instructions!$B$1="CZ","Tržby [Kč]","Sales [CZK]")</f>
        <v>Sales [CZK]</v>
      </c>
      <c r="B9" s="142">
        <f>B8*B5</f>
        <v>0</v>
      </c>
      <c r="C9" s="143">
        <f>C8*C5</f>
        <v>0</v>
      </c>
      <c r="D9" s="11"/>
      <c r="E9" s="11"/>
      <c r="F9" s="11"/>
      <c r="G9" s="254" t="str">
        <f>IF(Instructions!$B$1="CZ","Mimořádné výdaje","Extraordinary expenses")</f>
        <v>Extraordinary expenses</v>
      </c>
      <c r="H9" s="168">
        <f>IF(B52&lt;0,B52,0)</f>
        <v>0</v>
      </c>
      <c r="I9" s="138"/>
      <c r="J9" s="138"/>
      <c r="K9" s="169"/>
      <c r="L9" s="167">
        <f t="shared" si="0"/>
        <v>0</v>
      </c>
      <c r="M9" s="11"/>
    </row>
    <row r="10" spans="1:13" ht="16.5" thickBot="1" x14ac:dyDescent="0.3">
      <c r="A10" s="11"/>
      <c r="B10" s="11"/>
      <c r="C10" s="11"/>
      <c r="D10" s="11"/>
      <c r="E10" s="234"/>
      <c r="F10" s="234"/>
      <c r="G10" s="254" t="str">
        <f>IF(Instructions!$B$1="CZ","Daně","Taxes")</f>
        <v>Taxes</v>
      </c>
      <c r="H10" s="168">
        <f>B88</f>
        <v>0</v>
      </c>
      <c r="I10" s="138"/>
      <c r="J10" s="138"/>
      <c r="K10" s="169"/>
      <c r="L10" s="167">
        <f t="shared" si="0"/>
        <v>0</v>
      </c>
      <c r="M10" s="11"/>
    </row>
    <row r="11" spans="1:13" ht="18.75" x14ac:dyDescent="0.3">
      <c r="A11" s="373" t="str">
        <f>IF(Instructions!$B$1="CZ","VÝROBA","PRODUCTION")</f>
        <v>PRODUCTION</v>
      </c>
      <c r="B11" s="374"/>
      <c r="C11" s="375"/>
      <c r="D11" s="377"/>
      <c r="E11" s="378"/>
      <c r="F11" s="235"/>
      <c r="G11" s="254" t="str">
        <f>IF(Instructions!$B$1="CZ","Mimořádné příjmy","Extraordinary revenues")</f>
        <v>Extraordinary revenues</v>
      </c>
      <c r="H11" s="172">
        <f>IF(B52&gt;0,B52,0)</f>
        <v>0</v>
      </c>
      <c r="I11" s="175"/>
      <c r="J11" s="175"/>
      <c r="K11" s="173"/>
      <c r="L11" s="174"/>
      <c r="M11" s="11"/>
    </row>
    <row r="12" spans="1:13" ht="16.5" thickBot="1" x14ac:dyDescent="0.3">
      <c r="A12" s="133" t="str">
        <f>IF(Instructions!$B$1="CZ","VÝROBEK","PRODUCT")</f>
        <v>PRODUCT</v>
      </c>
      <c r="B12" s="134" t="str">
        <f>IF(Instructions!$B$1="CZ","STOLY","DESKS")</f>
        <v>DESKS</v>
      </c>
      <c r="C12" s="135" t="str">
        <f>IF(Instructions!$B$1="CZ","SKŘÍŇKY","CABINETS")</f>
        <v>CABINETS</v>
      </c>
      <c r="D12" s="269"/>
      <c r="E12" s="269"/>
      <c r="F12" s="144"/>
      <c r="G12" s="255" t="str">
        <f>IF(Instructions!$B$1="CZ","Čistý zisk","Net results")</f>
        <v>Net results</v>
      </c>
      <c r="H12" s="172">
        <f>B91</f>
        <v>0</v>
      </c>
      <c r="I12" s="175"/>
      <c r="J12" s="175"/>
      <c r="K12" s="173"/>
      <c r="L12" s="174">
        <f>H12</f>
        <v>0</v>
      </c>
      <c r="M12" s="11"/>
    </row>
    <row r="13" spans="1:13" x14ac:dyDescent="0.25">
      <c r="A13" s="137" t="str">
        <f>IF(Instructions!$B$1="CZ","Počáteční zásoba [ks]","Opening stock [pcs]")</f>
        <v>Opening stock [pcs]</v>
      </c>
      <c r="B13" s="138">
        <f>RawData!A28</f>
        <v>0</v>
      </c>
      <c r="C13" s="139">
        <f>RawData!A33</f>
        <v>0</v>
      </c>
      <c r="D13" s="130"/>
      <c r="E13" s="130"/>
      <c r="G13" s="256" t="str">
        <f>IF(Instructions!$B$1="CZ","Průzkum trhu","Market survey")</f>
        <v>Market survey</v>
      </c>
      <c r="H13" s="176">
        <f>B79</f>
        <v>0</v>
      </c>
      <c r="I13" s="207"/>
      <c r="J13" s="207"/>
      <c r="K13" s="177"/>
      <c r="L13" s="163">
        <f>SUM(H13:K13)</f>
        <v>0</v>
      </c>
      <c r="M13" s="11"/>
    </row>
    <row r="14" spans="1:13" x14ac:dyDescent="0.25">
      <c r="A14" s="137" t="str">
        <f>IF(Instructions!$B$1="CZ","Plánovaná výroba [ks]","Planned production [pcs]")</f>
        <v>Planned production [pcs]</v>
      </c>
      <c r="B14" s="138">
        <f>RawData!A29</f>
        <v>0</v>
      </c>
      <c r="C14" s="139">
        <f>RawData!A34</f>
        <v>0</v>
      </c>
      <c r="D14" s="131"/>
      <c r="E14" s="131"/>
      <c r="F14" s="136"/>
      <c r="G14" s="254" t="str">
        <f>IF(Instructions!$B$1="CZ","Cena stolu","Price of Desks")</f>
        <v>Price of Desks</v>
      </c>
      <c r="H14" s="168">
        <f>B5</f>
        <v>0</v>
      </c>
      <c r="I14" s="138"/>
      <c r="J14" s="138"/>
      <c r="K14" s="169"/>
      <c r="L14" s="221"/>
      <c r="M14" s="11"/>
    </row>
    <row r="15" spans="1:13" x14ac:dyDescent="0.25">
      <c r="A15" s="137" t="str">
        <f>IF(Instructions!$B$1="CZ","Skutečná výroba [ks]","Actual production [pcs]")</f>
        <v>Actual production [pcs]</v>
      </c>
      <c r="B15" s="138">
        <f>RawData!A30</f>
        <v>0</v>
      </c>
      <c r="C15" s="139">
        <f>RawData!A35</f>
        <v>0</v>
      </c>
      <c r="D15" s="130"/>
      <c r="E15" s="130"/>
      <c r="F15" s="136"/>
      <c r="G15" s="254" t="str">
        <f>IF(Instructions!$B$1="CZ","Cena skříňky","Price of cabinets")</f>
        <v>Price of cabinets</v>
      </c>
      <c r="H15" s="168">
        <f>C5</f>
        <v>0</v>
      </c>
      <c r="I15" s="138"/>
      <c r="J15" s="138"/>
      <c r="K15" s="169"/>
      <c r="L15" s="221"/>
      <c r="M15" s="11"/>
    </row>
    <row r="16" spans="1:13" ht="16.5" thickBot="1" x14ac:dyDescent="0.3">
      <c r="A16" s="141" t="str">
        <f>IF(Instructions!$B$1="CZ","Konečná zásoba [ks]","Inventory [pcs]")</f>
        <v>Inventory [pcs]</v>
      </c>
      <c r="B16" s="138">
        <f>RawData!A31</f>
        <v>0</v>
      </c>
      <c r="C16" s="139">
        <f>RawData!A36</f>
        <v>0</v>
      </c>
      <c r="D16" s="130"/>
      <c r="E16" s="130"/>
      <c r="G16" s="257" t="str">
        <f>IF(Instructions!$B$1="CZ","Náklady neuspokojené poptávky","Out-of-stock costs")</f>
        <v>Out-of-stock costs</v>
      </c>
      <c r="H16" s="181">
        <f>B81</f>
        <v>0</v>
      </c>
      <c r="I16" s="142"/>
      <c r="J16" s="142"/>
      <c r="K16" s="182"/>
      <c r="L16" s="217"/>
      <c r="M16" s="11"/>
    </row>
    <row r="17" spans="1:13" ht="16.5" thickBot="1" x14ac:dyDescent="0.3">
      <c r="A17" s="11"/>
      <c r="B17" s="11"/>
      <c r="C17" s="11"/>
      <c r="D17" s="130"/>
      <c r="E17" s="130"/>
      <c r="F17" s="130"/>
      <c r="G17" s="258" t="str">
        <f>IF(Instructions!$B$1="CZ","Počet strojů","Capacity")</f>
        <v>Capacity</v>
      </c>
      <c r="H17" s="184">
        <v>3</v>
      </c>
      <c r="I17" s="185"/>
      <c r="J17" s="185"/>
      <c r="K17" s="186"/>
      <c r="L17" s="337"/>
      <c r="M17" s="11"/>
    </row>
    <row r="18" spans="1:13" ht="18.75" x14ac:dyDescent="0.3">
      <c r="A18" s="373" t="str">
        <f>IF(Instructions!$B$1="CZ","ZÁSOBOVÁNÍ","PROCUREMENT")</f>
        <v>PROCUREMENT</v>
      </c>
      <c r="B18" s="374"/>
      <c r="C18" s="375"/>
      <c r="D18" s="241"/>
      <c r="E18" s="242"/>
      <c r="F18" s="11"/>
      <c r="G18" s="259" t="str">
        <f>IF(Instructions!$B$1="CZ","Výroba - plán [%]","Production - plan [%]")</f>
        <v>Production - plan [%]</v>
      </c>
      <c r="H18" s="189"/>
      <c r="I18" s="185"/>
      <c r="J18" s="185"/>
      <c r="K18" s="186"/>
      <c r="L18" s="187"/>
      <c r="M18" s="11"/>
    </row>
    <row r="19" spans="1:13" ht="16.5" thickBot="1" x14ac:dyDescent="0.3">
      <c r="A19" s="133" t="str">
        <f>IF(Instructions!$B$1="CZ","SUROVINA","RAW MATERIAL")</f>
        <v>RAW MATERIAL</v>
      </c>
      <c r="B19" s="7" t="str">
        <f>IF(Instructions!$B$1="CZ","DŘEVO","WOOD")</f>
        <v>WOOD</v>
      </c>
      <c r="C19" s="5" t="str">
        <f>IF(Instructions!$B$1="CZ","KOV","METAL")</f>
        <v>METAL</v>
      </c>
      <c r="D19" s="11"/>
      <c r="E19" s="144"/>
      <c r="F19" s="11"/>
      <c r="G19" s="259" t="str">
        <f>IF(Instructions!$B$1="CZ","Výroba - stutečnost [%]","Production - reality [%]")</f>
        <v>Production - reality [%]</v>
      </c>
      <c r="H19" s="190"/>
      <c r="I19" s="191"/>
      <c r="J19" s="191"/>
      <c r="K19" s="192"/>
      <c r="L19" s="193"/>
      <c r="M19" s="11"/>
    </row>
    <row r="20" spans="1:13" x14ac:dyDescent="0.25">
      <c r="A20" s="137" t="str">
        <f>IF(Instructions!$B$1="CZ","Počáteční zásoba [kg]","Opening stock [kg]")</f>
        <v>Opening stock [kg]</v>
      </c>
      <c r="B20" s="138">
        <f>RawData!A45</f>
        <v>0</v>
      </c>
      <c r="C20" s="139">
        <f>RawData!A51</f>
        <v>0</v>
      </c>
      <c r="D20" s="130">
        <f>B20*Data!$F$9</f>
        <v>0</v>
      </c>
      <c r="E20" s="237">
        <f>C20*Data!$F$10</f>
        <v>0</v>
      </c>
      <c r="F20" s="130"/>
      <c r="G20" s="260" t="str">
        <f>IF(Instructions!$B$1="CZ","Zaměstnanci - celkem","Employees - total")</f>
        <v>Employees - total</v>
      </c>
      <c r="H20" s="176" t="e">
        <f>E27/E28</f>
        <v>#DIV/0!</v>
      </c>
      <c r="I20" s="194"/>
      <c r="J20" s="194"/>
      <c r="K20" s="195"/>
      <c r="L20" s="196"/>
      <c r="M20" s="11"/>
    </row>
    <row r="21" spans="1:13" x14ac:dyDescent="0.25">
      <c r="A21" s="137" t="str">
        <f>IF(Instructions!$B$1="CZ","Nákup [kg]","Purchase [kg]")</f>
        <v>Purchase [kg]</v>
      </c>
      <c r="B21" s="138">
        <f>RawData!A46</f>
        <v>0</v>
      </c>
      <c r="C21" s="139">
        <f>RawData!A52</f>
        <v>0</v>
      </c>
      <c r="D21" s="130">
        <f>B21*B22-D24</f>
        <v>0</v>
      </c>
      <c r="E21" s="237">
        <f>C21*C22-E24</f>
        <v>0</v>
      </c>
      <c r="F21" s="11"/>
      <c r="G21" s="260" t="str">
        <f>IF(Instructions!$B$1="CZ","Zaměstnanci - aktivní","Employees - active")</f>
        <v>Employees - active</v>
      </c>
      <c r="H21" s="164" t="e">
        <f>IF(B32&lt;90,INT(H20*0.75),IF(B32&lt;100,INT(H20*0.85),IF(B32&lt;110,INT(H20*0.95),H20)))</f>
        <v>#DIV/0!</v>
      </c>
      <c r="I21" s="197"/>
      <c r="J21" s="165"/>
      <c r="K21" s="198"/>
      <c r="L21" s="179"/>
      <c r="M21" s="11"/>
    </row>
    <row r="22" spans="1:13" x14ac:dyDescent="0.25">
      <c r="A22" s="137" t="str">
        <f>IF(Instructions!$B$1="CZ","Cena [Kč za kg]","Price [CZK per kg]")</f>
        <v>Price [CZK per kg]</v>
      </c>
      <c r="B22" s="240">
        <f>RawData!A47</f>
        <v>0</v>
      </c>
      <c r="C22" s="239">
        <f>RawData!A53</f>
        <v>0</v>
      </c>
      <c r="D22" s="131"/>
      <c r="E22" s="238"/>
      <c r="F22" s="11"/>
      <c r="G22" s="260" t="str">
        <f>IF(Instructions!$B$1="CZ","Zaměstnanci - změna","Employees - change")</f>
        <v>Employees - change</v>
      </c>
      <c r="H22" s="168">
        <v>0</v>
      </c>
      <c r="I22" s="171"/>
      <c r="J22" s="171"/>
      <c r="K22" s="199"/>
      <c r="L22" s="179"/>
      <c r="M22" s="11"/>
    </row>
    <row r="23" spans="1:13" ht="16.5" thickBot="1" x14ac:dyDescent="0.3">
      <c r="A23" s="137" t="str">
        <f>IF(Instructions!$B$1="CZ","Spotřeba [kg]","Consumption [kg]")</f>
        <v>Consumption [kg]</v>
      </c>
      <c r="B23" s="138">
        <f>RawData!A48</f>
        <v>0</v>
      </c>
      <c r="C23" s="139">
        <f>RawData!A54</f>
        <v>0</v>
      </c>
      <c r="D23" s="130"/>
      <c r="E23" s="237"/>
      <c r="F23" s="130"/>
      <c r="G23" s="260" t="str">
        <f>IF(Instructions!$B$1="CZ","Zaměstnanci - přům. náklady na pracovníka","Employees - average per employee")</f>
        <v>Employees - average per employee</v>
      </c>
      <c r="H23" s="200">
        <f>E28</f>
        <v>0</v>
      </c>
      <c r="I23" s="201"/>
      <c r="J23" s="201"/>
      <c r="K23" s="202"/>
      <c r="L23" s="183"/>
      <c r="M23" s="11"/>
    </row>
    <row r="24" spans="1:13" ht="16.5" thickBot="1" x14ac:dyDescent="0.3">
      <c r="A24" s="141" t="str">
        <f>IF(Instructions!$B$1="CZ","Konečná zásoba [kg]","Inventory [kg]")</f>
        <v>Inventory [kg]</v>
      </c>
      <c r="B24" s="138">
        <f>RawData!A49</f>
        <v>0</v>
      </c>
      <c r="C24" s="139">
        <f>RawData!A55</f>
        <v>0</v>
      </c>
      <c r="D24" s="130">
        <f>B24*B22</f>
        <v>0</v>
      </c>
      <c r="E24" s="237">
        <f>C24*C22</f>
        <v>0</v>
      </c>
      <c r="F24" s="130"/>
      <c r="G24" s="261" t="str">
        <f>IF(Instructions!$B$1="CZ","Nedodržení plánované výroby","Production cut-backs")</f>
        <v>Production cut-backs</v>
      </c>
      <c r="H24" s="203">
        <v>0</v>
      </c>
      <c r="I24" s="204"/>
      <c r="J24" s="204"/>
      <c r="K24" s="205"/>
      <c r="L24" s="206"/>
      <c r="M24" s="11"/>
    </row>
    <row r="25" spans="1:13" ht="16.5" thickBot="1" x14ac:dyDescent="0.3">
      <c r="A25" s="11"/>
      <c r="B25" s="11"/>
      <c r="C25" s="11"/>
      <c r="D25" s="130"/>
      <c r="E25" s="130"/>
      <c r="F25" s="11"/>
      <c r="G25" s="262" t="str">
        <f>IF(Instructions!$B$1="CZ","Suroviny - nákup","Raw materials - purchase")</f>
        <v>Raw materials - purchase</v>
      </c>
      <c r="H25" s="176">
        <f>B46</f>
        <v>0</v>
      </c>
      <c r="I25" s="207"/>
      <c r="J25" s="207"/>
      <c r="K25" s="208"/>
      <c r="L25" s="209"/>
      <c r="M25" s="11"/>
    </row>
    <row r="26" spans="1:13" ht="18.75" x14ac:dyDescent="0.3">
      <c r="A26" s="367" t="str">
        <f>IF(Instructions!$B$1="CZ","LIDSKÉ ZDROJE","HUMAN RESOURCES")</f>
        <v>HUMAN RESOURCES</v>
      </c>
      <c r="B26" s="368"/>
      <c r="C26" s="368"/>
      <c r="D26" s="368"/>
      <c r="E26" s="369"/>
      <c r="F26" s="11"/>
      <c r="G26" s="263" t="str">
        <f>IF(Instructions!$B$1="CZ","Suroviny - sleva","Raw materials - discount")</f>
        <v>Raw materials - discount</v>
      </c>
      <c r="H26" s="164">
        <f>RawData!N66</f>
        <v>0</v>
      </c>
      <c r="I26" s="171"/>
      <c r="J26" s="138"/>
      <c r="K26" s="140"/>
      <c r="L26" s="210"/>
      <c r="M26" s="11"/>
    </row>
    <row r="27" spans="1:13" x14ac:dyDescent="0.25">
      <c r="A27" s="148" t="str">
        <f>IF(Instructions!$B$1="CZ","Základní index","Base index")</f>
        <v>Base index</v>
      </c>
      <c r="B27" s="136">
        <f>RawData!A65</f>
        <v>0</v>
      </c>
      <c r="C27" s="132"/>
      <c r="D27" s="132" t="str">
        <f>IF(Instructions!$B$1="CZ","Pracovní náklady","Labour costs")</f>
        <v>Labour costs</v>
      </c>
      <c r="E27" s="331">
        <f>RawData!A71</f>
        <v>0</v>
      </c>
      <c r="F27" s="130"/>
      <c r="G27" s="264" t="str">
        <f>IF(Instructions!$B$1="CZ","Suroviny - zásoba","Raw materials - stock")</f>
        <v>Raw materials - stock</v>
      </c>
      <c r="H27" s="164">
        <f>RawData!N67</f>
        <v>0</v>
      </c>
      <c r="I27" s="165"/>
      <c r="J27" s="165"/>
      <c r="K27" s="212"/>
      <c r="L27" s="210"/>
      <c r="M27" s="11"/>
    </row>
    <row r="28" spans="1:13" ht="16.5" thickBot="1" x14ac:dyDescent="0.3">
      <c r="A28" s="148" t="str">
        <f>IF(Instructions!$B$1="CZ","Mzdový index","Wage index")</f>
        <v>Wage index</v>
      </c>
      <c r="B28" s="136">
        <f>RawData!A66</f>
        <v>0</v>
      </c>
      <c r="C28" s="132"/>
      <c r="D28" s="132" t="str">
        <f>IF(Instructions!$B$1="CZ","Prům. náklady na pracovníka","Average per employee")</f>
        <v>Average per employee</v>
      </c>
      <c r="E28" s="331">
        <f>RawData!A72</f>
        <v>0</v>
      </c>
      <c r="F28" s="322"/>
      <c r="G28" s="265" t="str">
        <f>IF(Instructions!$B$1="CZ","Suroviny - skladovací náklady","Raw materials - storage costs")</f>
        <v>Raw materials - storage costs</v>
      </c>
      <c r="H28" s="213">
        <f>B82</f>
        <v>0</v>
      </c>
      <c r="I28" s="146"/>
      <c r="J28" s="146"/>
      <c r="K28" s="147"/>
      <c r="L28" s="214"/>
      <c r="M28" s="11"/>
    </row>
    <row r="29" spans="1:13" x14ac:dyDescent="0.25">
      <c r="A29" s="148" t="str">
        <f>IF(Instructions!$B$1="CZ","Změna mzdového indexu","Change in wage level")</f>
        <v>Change in wage level</v>
      </c>
      <c r="B29" s="136">
        <f>RawData!A67</f>
        <v>0</v>
      </c>
      <c r="C29" s="132"/>
      <c r="D29" s="132"/>
      <c r="E29" s="149"/>
      <c r="F29" s="11"/>
      <c r="G29" s="266" t="str">
        <f>IF(Instructions!$B$1="CZ","Výrobky - zásoba","Products - stock")</f>
        <v>Products - stock</v>
      </c>
      <c r="H29" s="176">
        <f>B60</f>
        <v>0</v>
      </c>
      <c r="I29" s="207"/>
      <c r="J29" s="207"/>
      <c r="K29" s="177"/>
      <c r="L29" s="163"/>
      <c r="M29" s="11"/>
    </row>
    <row r="30" spans="1:13" ht="16.5" thickBot="1" x14ac:dyDescent="0.3">
      <c r="A30" s="148" t="str">
        <f>IF(Instructions!$B$1="CZ","Vzdělávání","Training")</f>
        <v>Training</v>
      </c>
      <c r="B30" s="136">
        <v>0</v>
      </c>
      <c r="C30" s="132"/>
      <c r="D30" s="132"/>
      <c r="E30" s="149"/>
      <c r="F30" s="11"/>
      <c r="G30" s="265" t="str">
        <f>IF(Instructions!$B$1="CZ","Výrobky - skladovací náklady","Products - storage costs")</f>
        <v>Products - storage costs</v>
      </c>
      <c r="H30" s="213">
        <f>B83</f>
        <v>0</v>
      </c>
      <c r="I30" s="146"/>
      <c r="J30" s="146"/>
      <c r="K30" s="216"/>
      <c r="L30" s="217"/>
      <c r="M30" s="11"/>
    </row>
    <row r="31" spans="1:13" x14ac:dyDescent="0.25">
      <c r="A31" s="148" t="str">
        <f>IF(Instructions!$B$1="CZ","Vliv kokurence","Influence of competition")</f>
        <v>Influence of competition</v>
      </c>
      <c r="B31" s="136">
        <f>RawData!A69</f>
        <v>0</v>
      </c>
      <c r="C31" s="132"/>
      <c r="D31" s="132"/>
      <c r="E31" s="149"/>
      <c r="F31" s="11"/>
      <c r="G31" s="266" t="s">
        <v>4</v>
      </c>
      <c r="H31" s="218">
        <f>B32</f>
        <v>0</v>
      </c>
      <c r="I31" s="219"/>
      <c r="J31" s="219"/>
      <c r="K31" s="220"/>
      <c r="L31" s="163"/>
      <c r="M31" s="11"/>
    </row>
    <row r="32" spans="1:13" ht="16.5" thickBot="1" x14ac:dyDescent="0.3">
      <c r="A32" s="150" t="str">
        <f>IF(Instructions!$B$1="CZ","Nový index","New index")</f>
        <v>New index</v>
      </c>
      <c r="B32" s="151">
        <f>RawData!A70</f>
        <v>0</v>
      </c>
      <c r="C32" s="152"/>
      <c r="D32" s="152"/>
      <c r="E32" s="153"/>
      <c r="F32" s="11"/>
      <c r="G32" s="259" t="str">
        <f>IF(Instructions!$B$1="CZ","Průměrný PI na trhu","PI - market average")</f>
        <v>PI - market average</v>
      </c>
      <c r="H32" s="164">
        <v>100</v>
      </c>
      <c r="I32" s="197"/>
      <c r="J32" s="145"/>
      <c r="K32" s="198"/>
      <c r="L32" s="221"/>
      <c r="M32" s="11"/>
    </row>
    <row r="33" spans="1:13" x14ac:dyDescent="0.25">
      <c r="A33" s="11"/>
      <c r="B33" s="11"/>
      <c r="C33" s="11"/>
      <c r="D33" s="11"/>
      <c r="E33" s="11"/>
      <c r="F33" s="11"/>
      <c r="G33" s="260" t="str">
        <f>IF(Instructions!$B$1="CZ","Mzdový index","Wage index")</f>
        <v>Wage index</v>
      </c>
      <c r="H33" s="168">
        <f>B28</f>
        <v>0</v>
      </c>
      <c r="I33" s="138"/>
      <c r="J33" s="138"/>
      <c r="K33" s="169"/>
      <c r="L33" s="221"/>
      <c r="M33" s="11"/>
    </row>
    <row r="34" spans="1:13" ht="19.5" thickBot="1" x14ac:dyDescent="0.35">
      <c r="A34" s="376" t="s">
        <v>7</v>
      </c>
      <c r="B34" s="376"/>
      <c r="C34" s="154"/>
      <c r="D34" s="154"/>
      <c r="E34" s="154"/>
      <c r="F34" s="11"/>
      <c r="G34" s="267" t="str">
        <f>IF(Instructions!$B$1="CZ","Vzdělávání","Training")</f>
        <v>Training</v>
      </c>
      <c r="H34" s="213">
        <f>B30</f>
        <v>0</v>
      </c>
      <c r="I34" s="146"/>
      <c r="J34" s="146"/>
      <c r="K34" s="216"/>
      <c r="L34" s="222"/>
      <c r="M34" s="11"/>
    </row>
    <row r="35" spans="1:13" x14ac:dyDescent="0.25">
      <c r="A35" s="250" t="str">
        <f>IF(Instructions!$B$1="CZ","VÝCHOZÍ STAV HOTOVOSTI","OPENING BALANCE")</f>
        <v>OPENING BALANCE</v>
      </c>
      <c r="B35" s="145">
        <f>RawData!A94</f>
        <v>0</v>
      </c>
      <c r="C35" s="11"/>
      <c r="D35" s="11"/>
      <c r="E35" s="11"/>
      <c r="F35" s="11"/>
      <c r="G35" s="262" t="str">
        <f>IF(Instructions!$B$1="CZ","Úvěry","Credits")</f>
        <v>Credits</v>
      </c>
      <c r="H35" s="184">
        <f>E58</f>
        <v>0</v>
      </c>
      <c r="I35" s="185"/>
      <c r="J35" s="185"/>
      <c r="K35" s="186"/>
      <c r="L35" s="187"/>
      <c r="M35" s="11"/>
    </row>
    <row r="36" spans="1:13" x14ac:dyDescent="0.25">
      <c r="A36" s="250" t="str">
        <f>IF(Instructions!$B$1="CZ","Tržby","Sales revenues")</f>
        <v>Sales revenues</v>
      </c>
      <c r="B36" s="145">
        <f>RawData!A95</f>
        <v>0</v>
      </c>
      <c r="C36" s="130"/>
      <c r="D36" s="11"/>
      <c r="E36" s="11"/>
      <c r="F36" s="11"/>
      <c r="G36" s="260" t="str">
        <f>IF(Instructions!$B$1="CZ","Splátky","Repayments")</f>
        <v>Repayments</v>
      </c>
      <c r="H36" s="168">
        <f>B45</f>
        <v>0</v>
      </c>
      <c r="I36" s="138"/>
      <c r="J36" s="138"/>
      <c r="K36" s="169"/>
      <c r="L36" s="179"/>
      <c r="M36" s="11"/>
    </row>
    <row r="37" spans="1:13" x14ac:dyDescent="0.25">
      <c r="A37" s="250" t="str">
        <f>IF(Instructions!$B$1="CZ","Investiční úvěry","Investment credits")</f>
        <v>Investment credits</v>
      </c>
      <c r="B37" s="145">
        <f>RawData!A96</f>
        <v>0</v>
      </c>
      <c r="C37" s="11"/>
      <c r="D37" s="11"/>
      <c r="E37" s="11"/>
      <c r="F37" s="11"/>
      <c r="G37" s="260" t="str">
        <f>IF(Instructions!$B$1="CZ","Překlenovací úvěr","Extended credit")</f>
        <v>Extended credit</v>
      </c>
      <c r="H37" s="164">
        <f>E59</f>
        <v>0</v>
      </c>
      <c r="I37" s="197"/>
      <c r="J37" s="197"/>
      <c r="K37" s="198"/>
      <c r="L37" s="179"/>
      <c r="M37" s="11"/>
    </row>
    <row r="38" spans="1:13" ht="16.5" thickBot="1" x14ac:dyDescent="0.3">
      <c r="A38" s="250" t="str">
        <f>IF(Instructions!$B$1="CZ","Překlenovací úvěr","Extended credit")</f>
        <v>Extended credit</v>
      </c>
      <c r="B38" s="145">
        <f>RawData!A97</f>
        <v>0</v>
      </c>
      <c r="C38" s="11"/>
      <c r="D38" s="11"/>
      <c r="E38" s="11"/>
      <c r="F38" s="11"/>
      <c r="G38" s="268" t="str">
        <f>IF(Instructions!$B$1="CZ","Hotovost","Cash")</f>
        <v>Cash</v>
      </c>
      <c r="H38" s="172">
        <f>B54</f>
        <v>0</v>
      </c>
      <c r="I38" s="175"/>
      <c r="J38" s="175"/>
      <c r="K38" s="173"/>
      <c r="L38" s="193"/>
      <c r="M38" s="11"/>
    </row>
    <row r="39" spans="1:13" ht="16.5" thickBot="1" x14ac:dyDescent="0.3">
      <c r="A39" s="250" t="str">
        <f>IF(Instructions!$B$1="CZ","Mimořádné příjmy","Extraordinary incomes")</f>
        <v>Extraordinary incomes</v>
      </c>
      <c r="B39" s="145">
        <f>RawData!A98</f>
        <v>0</v>
      </c>
      <c r="C39" s="11"/>
      <c r="D39" s="11"/>
      <c r="E39" s="11"/>
      <c r="F39" s="11"/>
      <c r="G39" s="261" t="str">
        <f>IF(Instructions!$B$1="CZ","Cena akcie","Stockprice")</f>
        <v>Stockprice</v>
      </c>
      <c r="H39" s="223">
        <v>66.75</v>
      </c>
      <c r="I39" s="224"/>
      <c r="J39" s="224"/>
      <c r="K39" s="225"/>
      <c r="L39" s="206"/>
      <c r="M39" s="11"/>
    </row>
    <row r="40" spans="1:13" x14ac:dyDescent="0.25">
      <c r="A40" s="250" t="str">
        <f>IF(Instructions!$B$1="CZ","PŘÍJMY CELKEM","TOTAL REVENUES")</f>
        <v>TOTAL REVENUES</v>
      </c>
      <c r="B40" s="145">
        <f>RawData!A99</f>
        <v>0</v>
      </c>
      <c r="C40" s="11"/>
      <c r="D40" s="11"/>
      <c r="E40" s="11"/>
      <c r="F40" s="11"/>
      <c r="M40" s="11"/>
    </row>
    <row r="41" spans="1:13" x14ac:dyDescent="0.25">
      <c r="A41" s="250" t="str">
        <f>IF(Instructions!$B$1="CZ","Investice","Investments")</f>
        <v>Investments</v>
      </c>
      <c r="B41" s="145">
        <f>RawData!A100</f>
        <v>0</v>
      </c>
      <c r="C41" s="130"/>
      <c r="D41" s="11"/>
      <c r="E41" s="11"/>
      <c r="F41" s="11"/>
      <c r="M41" s="11"/>
    </row>
    <row r="42" spans="1:13" x14ac:dyDescent="0.25">
      <c r="A42" s="250" t="str">
        <f>IF(Instructions!$B$1="CZ","Marketingové oddělení","Marketing department")</f>
        <v>Marketing department</v>
      </c>
      <c r="B42" s="145">
        <f>RawData!A101</f>
        <v>0</v>
      </c>
      <c r="C42" s="130"/>
      <c r="D42" s="130"/>
      <c r="E42" s="11"/>
      <c r="F42" s="11"/>
      <c r="M42" s="11"/>
    </row>
    <row r="43" spans="1:13" x14ac:dyDescent="0.25">
      <c r="A43" s="250" t="str">
        <f>IF(Instructions!$B$1="CZ","Průzkumy","Market research")</f>
        <v>Market research</v>
      </c>
      <c r="B43" s="145">
        <f>RawData!A102</f>
        <v>0</v>
      </c>
      <c r="C43" s="130"/>
      <c r="D43" s="11"/>
      <c r="E43" s="11"/>
      <c r="F43" s="11"/>
      <c r="M43" s="11"/>
    </row>
    <row r="44" spans="1:13" x14ac:dyDescent="0.25">
      <c r="A44" s="250" t="str">
        <f>IF(Instructions!$B$1="CZ","Úroky","Interests")</f>
        <v>Interests</v>
      </c>
      <c r="B44" s="145">
        <f>RawData!A103</f>
        <v>0</v>
      </c>
      <c r="C44" s="130"/>
      <c r="D44" s="11"/>
      <c r="E44" s="11"/>
      <c r="F44" s="11"/>
      <c r="M44" s="11"/>
    </row>
    <row r="45" spans="1:13" x14ac:dyDescent="0.25">
      <c r="A45" s="250" t="str">
        <f>IF(Instructions!$B$1="CZ","Splátky","Repayments")</f>
        <v>Repayments</v>
      </c>
      <c r="B45" s="145">
        <f>RawData!A104</f>
        <v>0</v>
      </c>
      <c r="C45" s="130"/>
      <c r="D45" s="11"/>
      <c r="E45" s="11"/>
      <c r="F45" s="11"/>
      <c r="M45" s="11"/>
    </row>
    <row r="46" spans="1:13" x14ac:dyDescent="0.25">
      <c r="A46" s="250" t="str">
        <f>IF(Instructions!$B$1="CZ","Materiál","Material")</f>
        <v>Material</v>
      </c>
      <c r="B46" s="145">
        <f>RawData!A105</f>
        <v>0</v>
      </c>
      <c r="C46" s="130"/>
      <c r="D46" s="11"/>
      <c r="E46" s="11"/>
      <c r="F46" s="11"/>
      <c r="M46" s="11"/>
    </row>
    <row r="47" spans="1:13" x14ac:dyDescent="0.25">
      <c r="A47" s="250" t="str">
        <f>IF(Instructions!$B$1="CZ","Výroba","Production")</f>
        <v>Production</v>
      </c>
      <c r="B47" s="145">
        <f>RawData!A106</f>
        <v>0</v>
      </c>
      <c r="C47" s="130"/>
      <c r="D47" s="11"/>
      <c r="E47" s="11"/>
      <c r="F47" s="11"/>
      <c r="M47" s="11"/>
    </row>
    <row r="48" spans="1:13" x14ac:dyDescent="0.25">
      <c r="A48" s="250" t="str">
        <f>IF(Instructions!$B$1="CZ","Neuspokojená poptávka","Out-of-stock costs")</f>
        <v>Out-of-stock costs</v>
      </c>
      <c r="B48" s="145">
        <f>RawData!A107</f>
        <v>0</v>
      </c>
      <c r="C48" s="130"/>
      <c r="D48" s="11"/>
      <c r="E48" s="130"/>
      <c r="F48" s="130"/>
      <c r="M48" s="11"/>
    </row>
    <row r="49" spans="1:13" x14ac:dyDescent="0.25">
      <c r="A49" s="250" t="str">
        <f>IF(Instructions!$B$1="CZ","Skladování materiálu","Storage costs - raw materials")</f>
        <v>Storage costs - raw materials</v>
      </c>
      <c r="B49" s="145">
        <f>RawData!A108</f>
        <v>0</v>
      </c>
      <c r="C49" s="130"/>
      <c r="D49" s="11"/>
      <c r="E49" s="130"/>
      <c r="F49" s="11"/>
      <c r="M49" s="11"/>
    </row>
    <row r="50" spans="1:13" x14ac:dyDescent="0.25">
      <c r="A50" s="250" t="str">
        <f>IF(Instructions!$B$1="CZ","Skladování výrobků","Storage costs - end products")</f>
        <v>Storage costs - end products</v>
      </c>
      <c r="B50" s="145">
        <f>RawData!A109</f>
        <v>0</v>
      </c>
      <c r="C50" s="130"/>
      <c r="D50" s="11"/>
      <c r="E50" s="130"/>
      <c r="F50" s="11"/>
      <c r="M50" s="11"/>
    </row>
    <row r="51" spans="1:13" x14ac:dyDescent="0.25">
      <c r="A51" s="250" t="str">
        <f>IF(Instructions!$B$1="CZ","Daně","Taxes")</f>
        <v>Taxes</v>
      </c>
      <c r="B51" s="145">
        <f>RawData!A110</f>
        <v>0</v>
      </c>
      <c r="C51" s="11"/>
      <c r="D51" s="11"/>
      <c r="E51" s="11"/>
      <c r="F51" s="11"/>
      <c r="M51" s="11"/>
    </row>
    <row r="52" spans="1:13" x14ac:dyDescent="0.25">
      <c r="A52" s="250" t="str">
        <f>IF(Instructions!$B$1="CZ","Mimořádné výdaje","Extraordinary expenses")</f>
        <v>Extraordinary expenses</v>
      </c>
      <c r="B52" s="145">
        <f>RawData!A111</f>
        <v>0</v>
      </c>
      <c r="C52" s="11"/>
      <c r="D52" s="11"/>
      <c r="E52" s="11"/>
      <c r="F52" s="11"/>
      <c r="M52" s="11"/>
    </row>
    <row r="53" spans="1:13" x14ac:dyDescent="0.25">
      <c r="A53" s="250" t="str">
        <f>IF(Instructions!$B$1="CZ","VÝDAJE CELKEM","TOTAL EXPENSES")</f>
        <v>TOTAL EXPENSES</v>
      </c>
      <c r="B53" s="145">
        <f>RawData!A112</f>
        <v>0</v>
      </c>
      <c r="C53" s="11"/>
      <c r="D53" s="11"/>
      <c r="E53" s="130"/>
      <c r="F53" s="11"/>
      <c r="M53" s="11"/>
    </row>
    <row r="54" spans="1:13" x14ac:dyDescent="0.25">
      <c r="A54" s="250" t="str">
        <f>IF(Instructions!$B$1="CZ","KONEČNÝ STAV HOTOVOSTI","CASH BALANCE")</f>
        <v>CASH BALANCE</v>
      </c>
      <c r="B54" s="145">
        <f>B35+B40-B53</f>
        <v>0</v>
      </c>
      <c r="C54" s="11"/>
      <c r="D54" s="11"/>
      <c r="E54" s="130"/>
      <c r="F54" s="11"/>
      <c r="M54" s="11"/>
    </row>
    <row r="55" spans="1:13" ht="16.5" thickBot="1" x14ac:dyDescent="0.3">
      <c r="A55" s="11"/>
      <c r="B55" s="11"/>
      <c r="C55" s="11"/>
      <c r="D55" s="11"/>
      <c r="E55" s="130"/>
      <c r="F55" s="11"/>
      <c r="M55" s="11"/>
    </row>
    <row r="56" spans="1:13" ht="18.75" x14ac:dyDescent="0.3">
      <c r="A56" s="367" t="str">
        <f>IF(Instructions!$B$1="CZ","ROZVAHA","BALANCE SHEET")</f>
        <v>BALANCE SHEET</v>
      </c>
      <c r="B56" s="368"/>
      <c r="C56" s="368"/>
      <c r="D56" s="368"/>
      <c r="E56" s="369"/>
      <c r="F56" s="11"/>
      <c r="M56" s="11"/>
    </row>
    <row r="57" spans="1:13" x14ac:dyDescent="0.25">
      <c r="A57" s="148" t="str">
        <f>IF(Instructions!$B$1="CZ","Budovy","Buildings")</f>
        <v>Buildings</v>
      </c>
      <c r="B57" s="334">
        <f>RawData!A121</f>
        <v>0</v>
      </c>
      <c r="C57" s="132"/>
      <c r="D57" s="132" t="str">
        <f>IF(Instructions!$B$1="CZ","Vlastní kapitál","Equity")</f>
        <v>Equity</v>
      </c>
      <c r="E57" s="336">
        <f>RawData!A132</f>
        <v>0</v>
      </c>
      <c r="F57" s="11"/>
      <c r="M57" s="11"/>
    </row>
    <row r="58" spans="1:13" x14ac:dyDescent="0.25">
      <c r="A58" s="148" t="str">
        <f>IF(Instructions!$B$1="CZ","Stroje","Machines")</f>
        <v>Machines</v>
      </c>
      <c r="B58" s="334">
        <f>RawData!A122</f>
        <v>0</v>
      </c>
      <c r="C58" s="132"/>
      <c r="D58" s="132" t="str">
        <f>IF(Instructions!$B$1="CZ","Úvěry","Credits")</f>
        <v>Credits</v>
      </c>
      <c r="E58" s="336">
        <f>RawData!A133</f>
        <v>0</v>
      </c>
      <c r="F58" s="11"/>
      <c r="M58" s="11"/>
    </row>
    <row r="59" spans="1:13" x14ac:dyDescent="0.25">
      <c r="A59" s="148" t="str">
        <f>IF(Instructions!$B$1="CZ","Suroviny","Raw materials")</f>
        <v>Raw materials</v>
      </c>
      <c r="B59" s="334">
        <f>RawData!A123</f>
        <v>0</v>
      </c>
      <c r="C59" s="132"/>
      <c r="D59" s="132" t="str">
        <f>IF(Instructions!$B$1="CZ","Překlenovací úvěr","Extended credit")</f>
        <v>Extended credit</v>
      </c>
      <c r="E59" s="336">
        <f>RawData!A134</f>
        <v>0</v>
      </c>
      <c r="F59" s="11"/>
      <c r="M59" s="11"/>
    </row>
    <row r="60" spans="1:13" x14ac:dyDescent="0.25">
      <c r="A60" s="148" t="str">
        <f>IF(Instructions!$B$1="CZ","Hotové výrobky","End products")</f>
        <v>End products</v>
      </c>
      <c r="B60" s="334">
        <f>RawData!A124</f>
        <v>0</v>
      </c>
      <c r="C60" s="132"/>
      <c r="D60" s="132" t="str">
        <f>IF(Instructions!$B$1="CZ","Daně","Taxes")</f>
        <v>Taxes</v>
      </c>
      <c r="E60" s="336">
        <f>RawData!A135</f>
        <v>0</v>
      </c>
      <c r="F60" s="11"/>
      <c r="M60" s="11"/>
    </row>
    <row r="61" spans="1:13" x14ac:dyDescent="0.25">
      <c r="A61" s="148" t="str">
        <f>IF(Instructions!$B$1="CZ","Hotovost","Cash")</f>
        <v>Cash</v>
      </c>
      <c r="B61" s="334">
        <f>RawData!A125</f>
        <v>0</v>
      </c>
      <c r="C61" s="132"/>
      <c r="D61" s="132"/>
      <c r="E61" s="331"/>
      <c r="F61" s="11"/>
      <c r="M61" s="11"/>
    </row>
    <row r="62" spans="1:13" ht="16.5" thickBot="1" x14ac:dyDescent="0.3">
      <c r="A62" s="150" t="str">
        <f>IF(Instructions!$B$1="CZ","CELKEM","TOTAL")</f>
        <v>TOTAL</v>
      </c>
      <c r="B62" s="335">
        <f>RawData!A126</f>
        <v>0</v>
      </c>
      <c r="C62" s="152"/>
      <c r="D62" s="152" t="str">
        <f>IF(Instructions!$B$1="CZ","CELKEM","TOTAL")</f>
        <v>TOTAL</v>
      </c>
      <c r="E62" s="332">
        <f>RawData!A136</f>
        <v>0</v>
      </c>
      <c r="F62" s="11"/>
      <c r="M62" s="11"/>
    </row>
    <row r="63" spans="1:13" ht="16.5" thickBot="1" x14ac:dyDescent="0.3">
      <c r="A63" s="11"/>
      <c r="B63" s="11"/>
      <c r="C63" s="11"/>
      <c r="D63" s="11"/>
      <c r="E63" s="130"/>
      <c r="F63" s="11"/>
      <c r="M63" s="11"/>
    </row>
    <row r="64" spans="1:13" ht="18.75" x14ac:dyDescent="0.3">
      <c r="A64" s="367" t="s">
        <v>26</v>
      </c>
      <c r="B64" s="369"/>
      <c r="C64" s="11"/>
      <c r="D64" s="130"/>
      <c r="E64" s="11"/>
      <c r="F64" s="11"/>
      <c r="M64" s="11"/>
    </row>
    <row r="65" spans="1:13" x14ac:dyDescent="0.25">
      <c r="A65" s="137" t="str">
        <f>Instructions!B5</f>
        <v>Firm</v>
      </c>
      <c r="B65" s="319">
        <f>RawData!A139</f>
        <v>0</v>
      </c>
      <c r="C65" s="11"/>
      <c r="D65" s="11"/>
      <c r="E65" s="11"/>
      <c r="F65" s="11"/>
      <c r="M65" s="11"/>
    </row>
    <row r="66" spans="1:13" x14ac:dyDescent="0.25">
      <c r="A66" s="137" t="s">
        <v>27</v>
      </c>
      <c r="B66" s="319">
        <f>RawData!A145</f>
        <v>0</v>
      </c>
      <c r="C66" s="11"/>
      <c r="D66" s="11"/>
      <c r="E66" s="11"/>
      <c r="F66" s="11"/>
      <c r="M66" s="11"/>
    </row>
    <row r="67" spans="1:13" x14ac:dyDescent="0.25">
      <c r="A67" s="137" t="s">
        <v>28</v>
      </c>
      <c r="B67" s="319">
        <f>RawData!A146</f>
        <v>0</v>
      </c>
      <c r="C67" s="11"/>
      <c r="D67" s="11"/>
      <c r="E67" s="11"/>
      <c r="F67" s="11"/>
      <c r="M67" s="11"/>
    </row>
    <row r="68" spans="1:13" x14ac:dyDescent="0.25">
      <c r="A68" s="137" t="s">
        <v>29</v>
      </c>
      <c r="B68" s="319">
        <f>RawData!A147</f>
        <v>0</v>
      </c>
      <c r="C68" s="11"/>
      <c r="D68" s="11"/>
      <c r="E68" s="11"/>
      <c r="F68" s="11"/>
      <c r="M68" s="11"/>
    </row>
    <row r="69" spans="1:13" ht="16.5" thickBot="1" x14ac:dyDescent="0.3">
      <c r="A69" s="141" t="s">
        <v>30</v>
      </c>
      <c r="B69" s="320">
        <f>RawData!A148</f>
        <v>0</v>
      </c>
      <c r="C69" s="11"/>
      <c r="D69" s="11"/>
      <c r="E69" s="11"/>
      <c r="F69" s="11"/>
      <c r="M69" s="11"/>
    </row>
    <row r="70" spans="1:13" ht="16.5" thickBot="1" x14ac:dyDescent="0.3">
      <c r="A70" s="11"/>
      <c r="B70" s="11"/>
      <c r="C70" s="11"/>
      <c r="D70" s="11"/>
      <c r="E70" s="11"/>
      <c r="F70" s="11"/>
      <c r="M70" s="11"/>
    </row>
    <row r="71" spans="1:13" ht="19.5" thickBot="1" x14ac:dyDescent="0.35">
      <c r="A71" s="371" t="str">
        <f>IF(Instructions!$B$1="CZ","VÝKAZ ZISKŮ A ZTRÁT","PROFIT AND LOSS ACCOUNT")</f>
        <v>PROFIT AND LOSS ACCOUNT</v>
      </c>
      <c r="B71" s="372"/>
      <c r="C71" s="11"/>
      <c r="E71" s="11"/>
      <c r="F71" s="11"/>
      <c r="G71" s="134" t="str">
        <f>IF(Instructions!$B$1="CZ","Ziskovost-STOLY","Profitability-DESKS")</f>
        <v>Profitability-DESKS</v>
      </c>
      <c r="H71" s="134" t="str">
        <f>IF(Instructions!$B$1="CZ","SKŘÍŇKY","CABINETS")</f>
        <v>CABINETS</v>
      </c>
      <c r="M71" s="11"/>
    </row>
    <row r="72" spans="1:13" x14ac:dyDescent="0.25">
      <c r="A72" s="178" t="str">
        <f>IF(Instructions!$B$1="CZ","Tržby","Sales revenues")</f>
        <v>Sales revenues</v>
      </c>
      <c r="B72" s="330">
        <f>RawData!A170</f>
        <v>0</v>
      </c>
      <c r="C72" s="130"/>
      <c r="F72" s="11"/>
      <c r="G72" s="66">
        <f>B9</f>
        <v>0</v>
      </c>
      <c r="H72" s="66">
        <f>C9</f>
        <v>0</v>
      </c>
      <c r="M72" s="11"/>
    </row>
    <row r="73" spans="1:13" x14ac:dyDescent="0.25">
      <c r="A73" s="148" t="str">
        <f>IF(Instructions!$B$1="CZ","Náklady prodaných výrobků","Costs of goods sold")</f>
        <v>Costs of goods sold</v>
      </c>
      <c r="B73" s="331">
        <f>RawData!A171</f>
        <v>0</v>
      </c>
      <c r="C73" s="130"/>
      <c r="E73" s="11"/>
      <c r="F73" s="11"/>
      <c r="G73" s="66" t="e">
        <f>SUM(G74:G76)</f>
        <v>#DIV/0!</v>
      </c>
      <c r="H73" s="66" t="e">
        <f>SUM(H74:H76)</f>
        <v>#DIV/0!</v>
      </c>
      <c r="M73" s="11"/>
    </row>
    <row r="74" spans="1:13" x14ac:dyDescent="0.25">
      <c r="A74" s="148" t="str">
        <f>IF(Instructions!$B$1="CZ","   Suroviny prodaných výrobků","   Raw materials in sold products")</f>
        <v xml:space="preserve">   Raw materials in sold products</v>
      </c>
      <c r="B74" s="180">
        <f>RawData!A172</f>
        <v>0</v>
      </c>
      <c r="C74" s="130"/>
      <c r="E74" s="11"/>
      <c r="F74" s="11"/>
      <c r="G74" s="66">
        <f>B8*Data!F9*Data!F15+B8*Data!F10*Data!F16</f>
        <v>0</v>
      </c>
      <c r="H74" s="66">
        <f>C8*Data!F9*Data!G15+C8*Data!F10*Data!G16</f>
        <v>0</v>
      </c>
      <c r="M74" s="11"/>
    </row>
    <row r="75" spans="1:13" x14ac:dyDescent="0.25">
      <c r="A75" s="148" t="str">
        <f>IF(Instructions!$B$1="CZ","   Výrobní náklady","   Production costs")</f>
        <v xml:space="preserve">   Production costs</v>
      </c>
      <c r="B75" s="180">
        <f>RawData!A173</f>
        <v>0</v>
      </c>
      <c r="C75" s="130"/>
      <c r="E75" s="11"/>
      <c r="F75" s="11"/>
      <c r="G75" s="66" t="e">
        <f>B8/(B8+C8)*B75</f>
        <v>#DIV/0!</v>
      </c>
      <c r="H75" s="66" t="e">
        <f>C8/(B8+C8)*B75</f>
        <v>#DIV/0!</v>
      </c>
      <c r="M75" s="11"/>
    </row>
    <row r="76" spans="1:13" x14ac:dyDescent="0.25">
      <c r="A76" s="178" t="str">
        <f>IF(Instructions!$B$1="CZ","   Změna stavu zásob výrobků","   Change of stock - end products")</f>
        <v xml:space="preserve">   Change of stock - end products</v>
      </c>
      <c r="B76" s="188">
        <f>RawData!A174</f>
        <v>0</v>
      </c>
      <c r="C76" s="130"/>
      <c r="E76" s="130"/>
      <c r="F76" s="11"/>
      <c r="G76" s="66">
        <f>(B13-B16)*Data!B9</f>
        <v>0</v>
      </c>
      <c r="H76" s="66">
        <f>(C13-C16)*Data!B10</f>
        <v>0</v>
      </c>
      <c r="M76" s="11"/>
    </row>
    <row r="77" spans="1:13" ht="16.5" thickBot="1" x14ac:dyDescent="0.3">
      <c r="A77" s="150" t="str">
        <f>IF(Instructions!$B$1="CZ","Hrubý zisk","Gross result")</f>
        <v>Gross result</v>
      </c>
      <c r="B77" s="332">
        <f>RawData!A175</f>
        <v>0</v>
      </c>
      <c r="C77" s="130"/>
      <c r="E77" s="11"/>
      <c r="F77" s="11"/>
      <c r="G77" s="66" t="e">
        <f>G72-G73</f>
        <v>#DIV/0!</v>
      </c>
      <c r="H77" s="66" t="e">
        <f>H72-H73</f>
        <v>#DIV/0!</v>
      </c>
      <c r="M77" s="11"/>
    </row>
    <row r="78" spans="1:13" x14ac:dyDescent="0.25">
      <c r="A78" s="148" t="str">
        <f>IF(Instructions!$B$1="CZ","Nepřímé náklady","Indirect costs")</f>
        <v>Indirect costs</v>
      </c>
      <c r="B78" s="331">
        <f>RawData!A176</f>
        <v>0</v>
      </c>
      <c r="C78" s="130"/>
      <c r="F78" s="11"/>
      <c r="G78" s="66" t="e">
        <f>SUM(G79:G83)</f>
        <v>#DIV/0!</v>
      </c>
      <c r="H78" s="66" t="e">
        <f>SUM(H79:H83)</f>
        <v>#DIV/0!</v>
      </c>
      <c r="M78" s="11"/>
    </row>
    <row r="79" spans="1:13" x14ac:dyDescent="0.25">
      <c r="A79" s="148" t="str">
        <f>IF(Instructions!$B$1="CZ","   Průzkum trhu","   Market survey")</f>
        <v xml:space="preserve">   Market survey</v>
      </c>
      <c r="B79" s="331">
        <f>RawData!A177</f>
        <v>0</v>
      </c>
      <c r="C79" s="130"/>
      <c r="E79" s="11"/>
      <c r="F79" s="11"/>
      <c r="G79" s="66" t="e">
        <f>B8/(B8+C8)*B79</f>
        <v>#DIV/0!</v>
      </c>
      <c r="H79" s="66" t="e">
        <f>C8/(B8+C8)*B79</f>
        <v>#DIV/0!</v>
      </c>
      <c r="M79" s="11"/>
    </row>
    <row r="80" spans="1:13" x14ac:dyDescent="0.25">
      <c r="A80" s="148" t="str">
        <f>IF(Instructions!$B$1="CZ","   Marketingové oddělení","   Sales staff")</f>
        <v xml:space="preserve">   Sales staff</v>
      </c>
      <c r="B80" s="331">
        <f>RawData!A178</f>
        <v>0</v>
      </c>
      <c r="C80" s="130"/>
      <c r="E80" s="11"/>
      <c r="F80" s="11"/>
      <c r="G80" s="66" t="e">
        <f>B8/(B8+C8)*B80</f>
        <v>#DIV/0!</v>
      </c>
      <c r="H80" s="66" t="e">
        <f>C8/(B8+C8)*B80</f>
        <v>#DIV/0!</v>
      </c>
      <c r="M80" s="11"/>
    </row>
    <row r="81" spans="1:13" x14ac:dyDescent="0.25">
      <c r="A81" s="148" t="str">
        <f>IF(Instructions!$B$1="CZ","   Náklady neuspokojené poptávky","   Out-of-stock costs")</f>
        <v xml:space="preserve">   Out-of-stock costs</v>
      </c>
      <c r="B81" s="331">
        <f>RawData!A179</f>
        <v>0</v>
      </c>
      <c r="C81" s="130"/>
      <c r="E81" s="11"/>
      <c r="F81" s="11"/>
      <c r="G81" s="66">
        <f>IF(AND(B5&lt;1300,B8-B7&lt;0),(B7-B8)*25,0)</f>
        <v>0</v>
      </c>
      <c r="H81" s="66">
        <f>IF(AND(C5&lt;2800,C8-C7&lt;0),(C7-C8)*50,0)</f>
        <v>0</v>
      </c>
      <c r="M81" s="11"/>
    </row>
    <row r="82" spans="1:13" x14ac:dyDescent="0.25">
      <c r="A82" s="148" t="str">
        <f>IF(Instructions!$B$1="CZ","   Skladovací náklady - suroviny","   Storage costs - raw materials")</f>
        <v xml:space="preserve">   Storage costs - raw materials</v>
      </c>
      <c r="B82" s="331">
        <f>RawData!A180</f>
        <v>0</v>
      </c>
      <c r="C82" s="130"/>
      <c r="E82" s="11"/>
      <c r="F82" s="11"/>
      <c r="G82" s="66" t="e">
        <f>B8/(B8+C8)*B82</f>
        <v>#DIV/0!</v>
      </c>
      <c r="H82" s="66" t="e">
        <f>C8/(B8+C8)*B82</f>
        <v>#DIV/0!</v>
      </c>
      <c r="M82" s="11"/>
    </row>
    <row r="83" spans="1:13" x14ac:dyDescent="0.25">
      <c r="A83" s="178" t="str">
        <f>IF(Instructions!$B$1="CZ","   Skladovací náklady - výrobky","   Storage costs - end products")</f>
        <v xml:space="preserve">   Storage costs - end products</v>
      </c>
      <c r="B83" s="188">
        <f>RawData!A181</f>
        <v>0</v>
      </c>
      <c r="C83" s="130"/>
      <c r="E83" s="11"/>
      <c r="F83" s="11"/>
      <c r="G83" s="66">
        <f>B16*Data!F3</f>
        <v>0</v>
      </c>
      <c r="H83" s="66">
        <f>C16*Data!F3</f>
        <v>0</v>
      </c>
      <c r="M83" s="11"/>
    </row>
    <row r="84" spans="1:13" ht="16.5" thickBot="1" x14ac:dyDescent="0.3">
      <c r="A84" s="148" t="str">
        <f>IF(Instructions!$B$1="CZ","Provozní zisk","Operating result")</f>
        <v>Operating result</v>
      </c>
      <c r="B84" s="331">
        <f>RawData!A182</f>
        <v>0</v>
      </c>
      <c r="C84" s="130"/>
      <c r="E84" s="11"/>
      <c r="F84" s="11"/>
      <c r="G84" s="66" t="e">
        <f>G77-G78</f>
        <v>#DIV/0!</v>
      </c>
      <c r="H84" s="66" t="e">
        <f>H77-H78</f>
        <v>#DIV/0!</v>
      </c>
      <c r="M84" s="11"/>
    </row>
    <row r="85" spans="1:13" x14ac:dyDescent="0.25">
      <c r="A85" s="211" t="str">
        <f>IF(Instructions!$B$1="CZ","Zaplacené úroky","Capital costs")</f>
        <v>Capital costs</v>
      </c>
      <c r="B85" s="333">
        <f>RawData!A183</f>
        <v>0</v>
      </c>
      <c r="C85" s="130"/>
      <c r="E85" s="11"/>
      <c r="F85" s="11"/>
      <c r="G85" s="66" t="e">
        <f>B8/(B8+C8)*B85</f>
        <v>#DIV/0!</v>
      </c>
      <c r="H85" s="66" t="e">
        <f>C8/(B8+C8)*B85</f>
        <v>#DIV/0!</v>
      </c>
      <c r="M85" s="11"/>
    </row>
    <row r="86" spans="1:13" x14ac:dyDescent="0.25">
      <c r="A86" s="148" t="str">
        <f>IF(Instructions!$B$1="CZ","Mimořádné výdaje","Extraordinary expenses")</f>
        <v>Extraordinary expenses</v>
      </c>
      <c r="B86" s="331">
        <f>RawData!A184</f>
        <v>0</v>
      </c>
      <c r="C86" s="130"/>
      <c r="E86" s="11"/>
      <c r="F86" s="11"/>
      <c r="G86" s="66" t="e">
        <f>B8/(B8+C8)*B86</f>
        <v>#DIV/0!</v>
      </c>
      <c r="H86" s="66" t="e">
        <f>C8/(B8+C8)*B86</f>
        <v>#DIV/0!</v>
      </c>
      <c r="M86" s="11"/>
    </row>
    <row r="87" spans="1:13" x14ac:dyDescent="0.25">
      <c r="A87" s="148" t="str">
        <f>IF(Instructions!$B$1="CZ","Zisk z provozní činnosti před zdaněním","Normal operating result before tax")</f>
        <v>Normal operating result before tax</v>
      </c>
      <c r="B87" s="331">
        <f>RawData!A185</f>
        <v>0</v>
      </c>
      <c r="C87" s="130"/>
      <c r="E87" s="11"/>
      <c r="F87" s="11"/>
      <c r="G87" s="66" t="e">
        <f>G84-G85-G86</f>
        <v>#DIV/0!</v>
      </c>
      <c r="H87" s="66" t="e">
        <f>H84-H85-H86</f>
        <v>#DIV/0!</v>
      </c>
      <c r="M87" s="11"/>
    </row>
    <row r="88" spans="1:13" x14ac:dyDescent="0.25">
      <c r="A88" s="148" t="str">
        <f>IF(Instructions!$B$1="CZ","Daně","Taxes")</f>
        <v>Taxes</v>
      </c>
      <c r="B88" s="331">
        <f>RawData!A186</f>
        <v>0</v>
      </c>
      <c r="C88" s="130"/>
      <c r="D88" s="11"/>
      <c r="E88" s="11"/>
      <c r="F88" s="11"/>
      <c r="M88" s="11"/>
    </row>
    <row r="89" spans="1:13" x14ac:dyDescent="0.25">
      <c r="A89" s="178" t="str">
        <f>IF(Instructions!$B$1="CZ","Zisk z provozní činnosti po zdanění","Normal operating result after tax")</f>
        <v>Normal operating result after tax</v>
      </c>
      <c r="B89" s="330">
        <f>RawData!A187</f>
        <v>0</v>
      </c>
      <c r="C89" s="130"/>
      <c r="D89" s="11"/>
      <c r="E89" s="11"/>
      <c r="F89" s="11"/>
      <c r="M89" s="11"/>
    </row>
    <row r="90" spans="1:13" x14ac:dyDescent="0.25">
      <c r="A90" s="148" t="str">
        <f>IF(Instructions!$B$1="CZ","Mimořádné příjmy","Extraordinary revenues")</f>
        <v>Extraordinary revenues</v>
      </c>
      <c r="B90" s="331">
        <f>RawData!A188</f>
        <v>0</v>
      </c>
      <c r="C90" s="130"/>
      <c r="D90" s="11"/>
      <c r="E90" s="11"/>
      <c r="F90" s="11"/>
      <c r="M90" s="11"/>
    </row>
    <row r="91" spans="1:13" ht="16.5" thickBot="1" x14ac:dyDescent="0.3">
      <c r="A91" s="150" t="str">
        <f>IF(Instructions!$B$1="CZ","Celkový čistý zisk","Net result")</f>
        <v>Net result</v>
      </c>
      <c r="B91" s="332">
        <f>RawData!A189</f>
        <v>0</v>
      </c>
      <c r="C91" s="130"/>
      <c r="D91" s="11"/>
      <c r="E91" s="11"/>
      <c r="F91" s="11"/>
      <c r="M91" s="11"/>
    </row>
    <row r="92" spans="1:13" x14ac:dyDescent="0.25">
      <c r="A92" s="11"/>
      <c r="B92" s="11"/>
      <c r="C92" s="11"/>
      <c r="D92" s="11"/>
      <c r="E92" s="11"/>
      <c r="F92" s="11"/>
      <c r="M92" s="11"/>
    </row>
    <row r="93" spans="1:13" x14ac:dyDescent="0.25">
      <c r="A93" s="11"/>
      <c r="B93" s="11"/>
      <c r="C93" s="11"/>
      <c r="D93" s="11"/>
      <c r="E93" s="11"/>
      <c r="F93" s="11"/>
      <c r="M93" s="11"/>
    </row>
    <row r="94" spans="1:13" x14ac:dyDescent="0.25">
      <c r="A94" s="11"/>
      <c r="B94" s="11"/>
      <c r="C94" s="11"/>
      <c r="D94" s="11"/>
      <c r="E94" s="11"/>
      <c r="F94" s="11"/>
      <c r="M94" s="11"/>
    </row>
    <row r="95" spans="1:13" x14ac:dyDescent="0.25">
      <c r="A95" s="11"/>
      <c r="B95" s="11"/>
      <c r="C95" s="11"/>
      <c r="D95" s="11"/>
      <c r="E95" s="11"/>
      <c r="F95" s="11"/>
      <c r="M95" s="11"/>
    </row>
    <row r="96" spans="1:13" x14ac:dyDescent="0.25">
      <c r="A96" s="11"/>
      <c r="B96" s="11"/>
      <c r="C96" s="11"/>
      <c r="D96" s="11"/>
      <c r="E96" s="11"/>
      <c r="F96" s="11"/>
      <c r="M96" s="11"/>
    </row>
  </sheetData>
  <mergeCells count="12">
    <mergeCell ref="A56:E56"/>
    <mergeCell ref="G1:L1"/>
    <mergeCell ref="A71:B71"/>
    <mergeCell ref="A18:C18"/>
    <mergeCell ref="A26:E26"/>
    <mergeCell ref="A34:B34"/>
    <mergeCell ref="A1:E1"/>
    <mergeCell ref="A3:C3"/>
    <mergeCell ref="A11:C11"/>
    <mergeCell ref="D6:E6"/>
    <mergeCell ref="D11:E11"/>
    <mergeCell ref="A64:B64"/>
  </mergeCells>
  <pageMargins left="0.78740157499999996" right="0.78740157499999996" top="0.984251969" bottom="0.984251969" header="0.4921259845" footer="0.4921259845"/>
  <pageSetup paperSize="9" scale="77" orientation="portrait" r:id="rId1"/>
  <headerFooter alignWithMargins="0">
    <oddHeader>&amp;R5. KOLO</oddHeader>
    <oddFooter>Stránka &amp;P</oddFooter>
  </headerFooter>
  <rowBreaks count="1" manualBreakCount="1">
    <brk id="55" max="11" man="1"/>
  </rowBreaks>
  <colBreaks count="1" manualBreakCount="1">
    <brk id="5" max="9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F5036-293E-4409-94C0-D3A3F79BD45F}">
  <dimension ref="A1:P247"/>
  <sheetViews>
    <sheetView workbookViewId="0">
      <selection activeCell="A2" sqref="A2"/>
    </sheetView>
  </sheetViews>
  <sheetFormatPr defaultColWidth="8.625" defaultRowHeight="15" x14ac:dyDescent="0.25"/>
  <cols>
    <col min="1" max="4" width="16.125" style="317" bestFit="1" customWidth="1"/>
    <col min="5" max="16384" width="8.625" style="317"/>
  </cols>
  <sheetData>
    <row r="1" spans="1:16" x14ac:dyDescent="0.25">
      <c r="A1" s="317" t="s">
        <v>31</v>
      </c>
      <c r="B1" s="317">
        <v>2</v>
      </c>
      <c r="C1" s="317">
        <v>3</v>
      </c>
      <c r="D1" s="317">
        <v>4</v>
      </c>
      <c r="E1" s="317">
        <v>5</v>
      </c>
      <c r="F1" s="317">
        <v>6</v>
      </c>
      <c r="G1" s="317">
        <v>7</v>
      </c>
      <c r="H1" s="317">
        <v>8</v>
      </c>
      <c r="I1" s="317">
        <v>9</v>
      </c>
      <c r="J1" s="317">
        <v>10</v>
      </c>
      <c r="K1" s="317">
        <v>11</v>
      </c>
      <c r="L1" s="317">
        <v>12</v>
      </c>
      <c r="N1" s="364">
        <v>2023</v>
      </c>
      <c r="O1" s="317">
        <v>2024</v>
      </c>
      <c r="P1" s="317">
        <v>2025</v>
      </c>
    </row>
    <row r="2" spans="1:16" ht="15.75" x14ac:dyDescent="0.25">
      <c r="A2" s="317" t="s">
        <v>33</v>
      </c>
      <c r="B2" s="317" t="s">
        <v>33</v>
      </c>
      <c r="C2" s="317" t="s">
        <v>33</v>
      </c>
      <c r="D2" s="317" t="s">
        <v>33</v>
      </c>
      <c r="E2" s="317" t="s">
        <v>33</v>
      </c>
      <c r="F2" s="317" t="s">
        <v>33</v>
      </c>
      <c r="G2" s="317" t="s">
        <v>33</v>
      </c>
      <c r="H2" s="317" t="s">
        <v>33</v>
      </c>
      <c r="I2" s="317" t="s">
        <v>33</v>
      </c>
      <c r="J2" s="317" t="s">
        <v>33</v>
      </c>
      <c r="K2" s="317" t="s">
        <v>33</v>
      </c>
      <c r="L2" s="317" t="s">
        <v>33</v>
      </c>
      <c r="N2" s="356" t="s">
        <v>32</v>
      </c>
      <c r="O2" s="356" t="s">
        <v>32</v>
      </c>
      <c r="P2" s="356" t="s">
        <v>32</v>
      </c>
    </row>
    <row r="3" spans="1:16" ht="15.75" x14ac:dyDescent="0.25">
      <c r="N3" s="325"/>
    </row>
    <row r="4" spans="1:16" ht="15.75" x14ac:dyDescent="0.25">
      <c r="N4" s="325"/>
    </row>
    <row r="5" spans="1:16" ht="15.75" x14ac:dyDescent="0.25">
      <c r="N5" s="325"/>
    </row>
    <row r="6" spans="1:16" ht="15.75" x14ac:dyDescent="0.25">
      <c r="N6" s="325"/>
    </row>
    <row r="7" spans="1:16" ht="15.75" x14ac:dyDescent="0.25">
      <c r="N7" s="325"/>
    </row>
    <row r="8" spans="1:16" ht="15.75" x14ac:dyDescent="0.25">
      <c r="N8" s="325"/>
    </row>
    <row r="9" spans="1:16" ht="15.75" x14ac:dyDescent="0.25">
      <c r="N9" s="325"/>
    </row>
    <row r="10" spans="1:16" ht="15.75" x14ac:dyDescent="0.25">
      <c r="A10" s="318"/>
      <c r="B10" s="318"/>
      <c r="C10" s="318"/>
      <c r="D10" s="318"/>
      <c r="N10" s="325"/>
    </row>
    <row r="11" spans="1:16" ht="15.75" x14ac:dyDescent="0.25">
      <c r="A11" s="318"/>
      <c r="B11" s="318"/>
      <c r="C11" s="318"/>
      <c r="D11" s="318"/>
      <c r="N11" s="325"/>
    </row>
    <row r="12" spans="1:16" ht="15.75" x14ac:dyDescent="0.25">
      <c r="A12" s="318"/>
      <c r="B12" s="318"/>
      <c r="C12" s="318"/>
      <c r="D12" s="318"/>
      <c r="N12" s="325"/>
    </row>
    <row r="13" spans="1:16" ht="15.75" x14ac:dyDescent="0.25">
      <c r="A13" s="318"/>
      <c r="B13" s="318"/>
      <c r="C13" s="318"/>
      <c r="D13" s="318"/>
      <c r="N13" s="325"/>
    </row>
    <row r="14" spans="1:16" ht="15.75" x14ac:dyDescent="0.25">
      <c r="A14" s="318"/>
      <c r="B14" s="318"/>
      <c r="C14" s="318"/>
      <c r="D14" s="318"/>
      <c r="N14" s="325"/>
    </row>
    <row r="15" spans="1:16" ht="15.75" x14ac:dyDescent="0.25">
      <c r="N15" s="325"/>
    </row>
    <row r="16" spans="1:16" ht="15.75" x14ac:dyDescent="0.25">
      <c r="A16" s="318"/>
      <c r="B16" s="318"/>
      <c r="C16" s="318"/>
      <c r="D16" s="318"/>
      <c r="N16" s="325"/>
    </row>
    <row r="17" spans="1:14" ht="15.75" x14ac:dyDescent="0.25">
      <c r="N17" s="325"/>
    </row>
    <row r="18" spans="1:14" ht="15.75" x14ac:dyDescent="0.25">
      <c r="N18" s="325"/>
    </row>
    <row r="19" spans="1:14" ht="15.75" x14ac:dyDescent="0.25">
      <c r="N19" s="325"/>
    </row>
    <row r="20" spans="1:14" ht="15.75" x14ac:dyDescent="0.25">
      <c r="A20" s="318"/>
      <c r="B20" s="318"/>
      <c r="C20" s="318"/>
      <c r="D20" s="318"/>
      <c r="N20" s="325"/>
    </row>
    <row r="21" spans="1:14" ht="15.75" x14ac:dyDescent="0.25">
      <c r="N21" s="325"/>
    </row>
    <row r="22" spans="1:14" ht="15.75" x14ac:dyDescent="0.25">
      <c r="N22" s="325"/>
    </row>
    <row r="23" spans="1:14" ht="15.75" x14ac:dyDescent="0.25">
      <c r="N23" s="325"/>
    </row>
    <row r="24" spans="1:14" ht="15.75" x14ac:dyDescent="0.25">
      <c r="N24" s="325"/>
    </row>
    <row r="25" spans="1:14" ht="15.75" x14ac:dyDescent="0.25">
      <c r="N25" s="325"/>
    </row>
    <row r="26" spans="1:14" ht="15.75" x14ac:dyDescent="0.25">
      <c r="N26" s="325"/>
    </row>
    <row r="27" spans="1:14" ht="15.75" x14ac:dyDescent="0.25">
      <c r="N27" s="325"/>
    </row>
    <row r="28" spans="1:14" ht="15.75" x14ac:dyDescent="0.25">
      <c r="A28" s="318"/>
      <c r="B28" s="318"/>
      <c r="C28" s="318"/>
      <c r="D28" s="318"/>
      <c r="N28" s="325"/>
    </row>
    <row r="29" spans="1:14" ht="15.75" x14ac:dyDescent="0.25">
      <c r="A29" s="318"/>
      <c r="B29" s="318"/>
      <c r="C29" s="318"/>
      <c r="D29" s="318"/>
      <c r="N29" s="325"/>
    </row>
    <row r="30" spans="1:14" ht="15.75" x14ac:dyDescent="0.25">
      <c r="A30" s="318"/>
      <c r="B30" s="318"/>
      <c r="C30" s="318"/>
      <c r="D30" s="318"/>
      <c r="N30" s="325"/>
    </row>
    <row r="31" spans="1:14" ht="15.75" x14ac:dyDescent="0.25">
      <c r="A31" s="318"/>
      <c r="B31" s="318"/>
      <c r="C31" s="318"/>
      <c r="D31" s="318"/>
      <c r="N31" s="325"/>
    </row>
    <row r="32" spans="1:14" ht="15.75" x14ac:dyDescent="0.25">
      <c r="N32" s="325"/>
    </row>
    <row r="33" spans="1:14" ht="15.75" x14ac:dyDescent="0.25">
      <c r="N33" s="325"/>
    </row>
    <row r="34" spans="1:14" ht="15.75" x14ac:dyDescent="0.25">
      <c r="N34" s="325"/>
    </row>
    <row r="35" spans="1:14" ht="15.75" x14ac:dyDescent="0.25">
      <c r="N35" s="325"/>
    </row>
    <row r="36" spans="1:14" ht="15.75" x14ac:dyDescent="0.25">
      <c r="N36" s="325"/>
    </row>
    <row r="37" spans="1:14" ht="15.75" x14ac:dyDescent="0.25">
      <c r="N37" s="325"/>
    </row>
    <row r="38" spans="1:14" ht="15.75" x14ac:dyDescent="0.25">
      <c r="N38" s="325"/>
    </row>
    <row r="39" spans="1:14" ht="15.75" x14ac:dyDescent="0.25">
      <c r="N39" s="325"/>
    </row>
    <row r="40" spans="1:14" ht="15.75" x14ac:dyDescent="0.25">
      <c r="N40" s="325"/>
    </row>
    <row r="41" spans="1:14" ht="15.75" x14ac:dyDescent="0.25">
      <c r="N41" s="325"/>
    </row>
    <row r="42" spans="1:14" ht="15.75" x14ac:dyDescent="0.25">
      <c r="N42" s="325"/>
    </row>
    <row r="43" spans="1:14" ht="15.75" x14ac:dyDescent="0.25">
      <c r="N43" s="324"/>
    </row>
    <row r="44" spans="1:14" ht="15.75" x14ac:dyDescent="0.25">
      <c r="N44" s="346"/>
    </row>
    <row r="45" spans="1:14" ht="15.75" x14ac:dyDescent="0.25">
      <c r="N45" s="346"/>
    </row>
    <row r="46" spans="1:14" ht="15.75" x14ac:dyDescent="0.25">
      <c r="A46" s="318"/>
      <c r="B46" s="318"/>
      <c r="C46" s="318"/>
      <c r="D46" s="318"/>
      <c r="N46" s="346"/>
    </row>
    <row r="47" spans="1:14" ht="15.75" x14ac:dyDescent="0.25">
      <c r="D47" s="365"/>
      <c r="N47" s="346"/>
    </row>
    <row r="48" spans="1:14" ht="15.75" x14ac:dyDescent="0.25">
      <c r="A48" s="318"/>
      <c r="B48" s="318"/>
      <c r="C48" s="318"/>
      <c r="D48" s="318"/>
      <c r="N48" s="326"/>
    </row>
    <row r="49" spans="1:14" ht="15.75" x14ac:dyDescent="0.25">
      <c r="N49" s="326"/>
    </row>
    <row r="50" spans="1:14" ht="15.75" x14ac:dyDescent="0.25">
      <c r="N50" s="326"/>
    </row>
    <row r="51" spans="1:14" ht="15.75" x14ac:dyDescent="0.25">
      <c r="N51" s="326"/>
    </row>
    <row r="52" spans="1:14" ht="15.75" x14ac:dyDescent="0.25">
      <c r="A52" s="318"/>
      <c r="B52" s="318"/>
      <c r="C52" s="318"/>
      <c r="D52" s="318"/>
      <c r="N52" s="346"/>
    </row>
    <row r="53" spans="1:14" ht="15.75" x14ac:dyDescent="0.25">
      <c r="B53" s="329"/>
      <c r="N53" s="326"/>
    </row>
    <row r="54" spans="1:14" ht="15.75" x14ac:dyDescent="0.25">
      <c r="A54" s="318"/>
      <c r="B54" s="318"/>
      <c r="C54" s="318"/>
      <c r="D54" s="318"/>
      <c r="N54" s="346"/>
    </row>
    <row r="55" spans="1:14" ht="15.75" x14ac:dyDescent="0.25">
      <c r="N55" s="346"/>
    </row>
    <row r="56" spans="1:14" ht="15.75" x14ac:dyDescent="0.25">
      <c r="N56" s="346"/>
    </row>
    <row r="57" spans="1:14" ht="15.75" x14ac:dyDescent="0.25">
      <c r="N57" s="326"/>
    </row>
    <row r="58" spans="1:14" ht="15.75" x14ac:dyDescent="0.25">
      <c r="N58" s="326"/>
    </row>
    <row r="59" spans="1:14" ht="15.75" x14ac:dyDescent="0.25">
      <c r="N59" s="326"/>
    </row>
    <row r="60" spans="1:14" ht="15.75" x14ac:dyDescent="0.25">
      <c r="N60" s="326"/>
    </row>
    <row r="61" spans="1:14" ht="15.75" x14ac:dyDescent="0.25">
      <c r="N61" s="326"/>
    </row>
    <row r="62" spans="1:14" ht="15.75" x14ac:dyDescent="0.25">
      <c r="N62" s="326"/>
    </row>
    <row r="63" spans="1:14" ht="15.75" x14ac:dyDescent="0.25">
      <c r="N63" s="346"/>
    </row>
    <row r="64" spans="1:14" ht="15.75" x14ac:dyDescent="0.25">
      <c r="N64" s="326"/>
    </row>
    <row r="65" spans="1:14" ht="15.75" x14ac:dyDescent="0.25">
      <c r="N65" s="346"/>
    </row>
    <row r="66" spans="1:14" ht="15.75" x14ac:dyDescent="0.25">
      <c r="N66" s="326"/>
    </row>
    <row r="67" spans="1:14" ht="15.75" x14ac:dyDescent="0.25">
      <c r="N67" s="346"/>
    </row>
    <row r="68" spans="1:14" ht="15.75" x14ac:dyDescent="0.25">
      <c r="N68" s="326"/>
    </row>
    <row r="69" spans="1:14" ht="15.75" x14ac:dyDescent="0.25">
      <c r="N69" s="346"/>
    </row>
    <row r="70" spans="1:14" ht="15.75" x14ac:dyDescent="0.25">
      <c r="N70" s="346"/>
    </row>
    <row r="71" spans="1:14" ht="15.75" x14ac:dyDescent="0.25">
      <c r="A71" s="318"/>
      <c r="B71" s="318"/>
      <c r="C71" s="318"/>
      <c r="D71" s="318"/>
      <c r="N71" s="326"/>
    </row>
    <row r="72" spans="1:14" ht="15.75" x14ac:dyDescent="0.25">
      <c r="A72" s="318"/>
      <c r="B72" s="318"/>
      <c r="C72" s="318"/>
      <c r="D72" s="318"/>
      <c r="N72" s="326"/>
    </row>
    <row r="73" spans="1:14" ht="15.75" x14ac:dyDescent="0.25">
      <c r="N73" s="326"/>
    </row>
    <row r="74" spans="1:14" ht="15.75" x14ac:dyDescent="0.25">
      <c r="N74" s="326"/>
    </row>
    <row r="75" spans="1:14" ht="15.75" x14ac:dyDescent="0.25">
      <c r="N75" s="326"/>
    </row>
    <row r="76" spans="1:14" ht="15.75" x14ac:dyDescent="0.25">
      <c r="N76" s="326"/>
    </row>
    <row r="77" spans="1:14" ht="15.75" x14ac:dyDescent="0.25">
      <c r="N77" s="326"/>
    </row>
    <row r="78" spans="1:14" ht="15.75" x14ac:dyDescent="0.25">
      <c r="N78" s="346"/>
    </row>
    <row r="79" spans="1:14" ht="15.75" x14ac:dyDescent="0.25">
      <c r="N79" s="326"/>
    </row>
    <row r="80" spans="1:14" ht="15.75" x14ac:dyDescent="0.25">
      <c r="N80" s="326"/>
    </row>
    <row r="81" spans="1:14" ht="15.75" x14ac:dyDescent="0.25">
      <c r="N81" s="346"/>
    </row>
    <row r="82" spans="1:14" ht="15.75" x14ac:dyDescent="0.25">
      <c r="N82" s="346"/>
    </row>
    <row r="83" spans="1:14" ht="15.75" x14ac:dyDescent="0.25">
      <c r="N83" s="346"/>
    </row>
    <row r="84" spans="1:14" ht="15.75" x14ac:dyDescent="0.25">
      <c r="N84" s="347"/>
    </row>
    <row r="85" spans="1:14" ht="15.75" x14ac:dyDescent="0.25">
      <c r="N85" s="326"/>
    </row>
    <row r="86" spans="1:14" ht="15.75" x14ac:dyDescent="0.25">
      <c r="N86" s="326"/>
    </row>
    <row r="87" spans="1:14" ht="15.75" x14ac:dyDescent="0.25">
      <c r="N87" s="326"/>
    </row>
    <row r="88" spans="1:14" ht="15.75" x14ac:dyDescent="0.25">
      <c r="N88" s="326"/>
    </row>
    <row r="89" spans="1:14" ht="15.75" x14ac:dyDescent="0.25">
      <c r="N89" s="346"/>
    </row>
    <row r="90" spans="1:14" ht="15.75" x14ac:dyDescent="0.25">
      <c r="N90" s="326"/>
    </row>
    <row r="91" spans="1:14" ht="15.75" x14ac:dyDescent="0.25">
      <c r="N91" s="346"/>
    </row>
    <row r="92" spans="1:14" ht="15.75" x14ac:dyDescent="0.25">
      <c r="N92" s="346"/>
    </row>
    <row r="93" spans="1:14" ht="15.75" x14ac:dyDescent="0.25">
      <c r="N93" s="346"/>
    </row>
    <row r="94" spans="1:14" ht="15.75" x14ac:dyDescent="0.25">
      <c r="A94" s="318"/>
      <c r="B94" s="318"/>
      <c r="C94" s="318"/>
      <c r="D94" s="318"/>
      <c r="N94" s="326"/>
    </row>
    <row r="95" spans="1:14" ht="15.75" x14ac:dyDescent="0.25">
      <c r="A95" s="318"/>
      <c r="B95" s="318"/>
      <c r="C95" s="318"/>
      <c r="D95" s="318"/>
      <c r="N95" s="326"/>
    </row>
    <row r="96" spans="1:14" ht="15.75" x14ac:dyDescent="0.25">
      <c r="N96" s="326"/>
    </row>
    <row r="97" spans="1:14" ht="15.75" x14ac:dyDescent="0.25">
      <c r="N97" s="326"/>
    </row>
    <row r="98" spans="1:14" ht="15.75" x14ac:dyDescent="0.25">
      <c r="N98" s="326"/>
    </row>
    <row r="99" spans="1:14" ht="15.75" x14ac:dyDescent="0.25">
      <c r="A99" s="318"/>
      <c r="B99" s="318"/>
      <c r="C99" s="318"/>
      <c r="D99" s="318"/>
      <c r="N99" s="326"/>
    </row>
    <row r="100" spans="1:14" ht="15.75" x14ac:dyDescent="0.25">
      <c r="N100" s="346"/>
    </row>
    <row r="101" spans="1:14" ht="15.75" x14ac:dyDescent="0.25">
      <c r="A101" s="318"/>
      <c r="B101" s="318"/>
      <c r="C101" s="318"/>
      <c r="D101" s="318"/>
      <c r="N101" s="326"/>
    </row>
    <row r="102" spans="1:14" ht="15.75" x14ac:dyDescent="0.25">
      <c r="D102" s="318"/>
      <c r="N102" s="346"/>
    </row>
    <row r="103" spans="1:14" ht="15.75" x14ac:dyDescent="0.25">
      <c r="N103" s="326"/>
    </row>
    <row r="104" spans="1:14" ht="15.75" x14ac:dyDescent="0.25">
      <c r="N104" s="346"/>
    </row>
    <row r="105" spans="1:14" ht="15.75" x14ac:dyDescent="0.25">
      <c r="A105" s="318"/>
      <c r="B105" s="318"/>
      <c r="C105" s="318"/>
      <c r="D105" s="318"/>
      <c r="N105" s="326"/>
    </row>
    <row r="106" spans="1:14" ht="15.75" x14ac:dyDescent="0.25">
      <c r="A106" s="318"/>
      <c r="B106" s="318"/>
      <c r="C106" s="318"/>
      <c r="D106" s="318"/>
      <c r="N106" s="346"/>
    </row>
    <row r="107" spans="1:14" ht="15.75" x14ac:dyDescent="0.25">
      <c r="A107" s="318"/>
      <c r="B107" s="318"/>
      <c r="C107" s="318"/>
      <c r="D107" s="318"/>
      <c r="N107" s="346"/>
    </row>
    <row r="108" spans="1:14" ht="15.75" x14ac:dyDescent="0.25">
      <c r="N108" s="326"/>
    </row>
    <row r="109" spans="1:14" ht="15.75" x14ac:dyDescent="0.25">
      <c r="A109" s="318"/>
      <c r="B109" s="318"/>
      <c r="C109" s="318"/>
      <c r="D109" s="318"/>
      <c r="N109" s="326"/>
    </row>
    <row r="110" spans="1:14" ht="15.75" x14ac:dyDescent="0.25">
      <c r="N110" s="326"/>
    </row>
    <row r="111" spans="1:14" ht="15.75" x14ac:dyDescent="0.25">
      <c r="N111" s="326"/>
    </row>
    <row r="112" spans="1:14" ht="15.75" x14ac:dyDescent="0.25">
      <c r="A112" s="318"/>
      <c r="B112" s="318"/>
      <c r="C112" s="318"/>
      <c r="D112" s="318"/>
      <c r="N112" s="326"/>
    </row>
    <row r="113" spans="1:14" ht="15.75" x14ac:dyDescent="0.25">
      <c r="A113" s="318"/>
      <c r="B113" s="318"/>
      <c r="C113" s="318"/>
      <c r="D113" s="318"/>
      <c r="N113" s="326"/>
    </row>
    <row r="114" spans="1:14" ht="15.75" x14ac:dyDescent="0.25">
      <c r="N114" s="326"/>
    </row>
    <row r="115" spans="1:14" ht="15.75" x14ac:dyDescent="0.25">
      <c r="N115" s="346"/>
    </row>
    <row r="116" spans="1:14" ht="15.75" x14ac:dyDescent="0.25">
      <c r="N116" s="326"/>
    </row>
    <row r="117" spans="1:14" ht="15.75" x14ac:dyDescent="0.25">
      <c r="N117" s="326"/>
    </row>
    <row r="118" spans="1:14" ht="15.75" x14ac:dyDescent="0.25">
      <c r="N118" s="346"/>
    </row>
    <row r="119" spans="1:14" ht="15.75" x14ac:dyDescent="0.25">
      <c r="N119" s="346"/>
    </row>
    <row r="120" spans="1:14" ht="15.75" x14ac:dyDescent="0.25">
      <c r="N120" s="346"/>
    </row>
    <row r="121" spans="1:14" ht="15.75" x14ac:dyDescent="0.25">
      <c r="A121" s="318"/>
      <c r="B121" s="318"/>
      <c r="C121" s="318"/>
      <c r="D121" s="318"/>
      <c r="N121" s="346"/>
    </row>
    <row r="122" spans="1:14" ht="15.75" x14ac:dyDescent="0.25">
      <c r="A122" s="318"/>
      <c r="B122" s="318"/>
      <c r="C122" s="318"/>
      <c r="D122" s="318"/>
      <c r="N122" s="326"/>
    </row>
    <row r="123" spans="1:14" ht="15.75" x14ac:dyDescent="0.25">
      <c r="A123" s="318"/>
      <c r="B123" s="318"/>
      <c r="C123" s="318"/>
      <c r="D123" s="318"/>
      <c r="N123" s="326"/>
    </row>
    <row r="124" spans="1:14" ht="15.75" x14ac:dyDescent="0.25">
      <c r="A124" s="318"/>
      <c r="B124" s="318"/>
      <c r="C124" s="318"/>
      <c r="D124" s="318"/>
      <c r="N124" s="326"/>
    </row>
    <row r="125" spans="1:14" ht="15.75" x14ac:dyDescent="0.25">
      <c r="A125" s="318"/>
      <c r="B125" s="318"/>
      <c r="C125" s="318"/>
      <c r="D125" s="318"/>
      <c r="N125" s="324"/>
    </row>
    <row r="126" spans="1:14" ht="15.75" x14ac:dyDescent="0.25">
      <c r="A126" s="318"/>
      <c r="B126" s="318"/>
      <c r="C126" s="318"/>
      <c r="D126" s="318"/>
      <c r="N126" s="346"/>
    </row>
    <row r="127" spans="1:14" ht="15.75" x14ac:dyDescent="0.25">
      <c r="N127" s="326"/>
    </row>
    <row r="128" spans="1:14" ht="15.75" x14ac:dyDescent="0.25">
      <c r="N128" s="346"/>
    </row>
    <row r="129" spans="1:14" ht="15.75" x14ac:dyDescent="0.25">
      <c r="N129" s="346"/>
    </row>
    <row r="130" spans="1:14" ht="15.75" x14ac:dyDescent="0.25">
      <c r="N130" s="346"/>
    </row>
    <row r="131" spans="1:14" ht="15.75" x14ac:dyDescent="0.25">
      <c r="N131" s="326"/>
    </row>
    <row r="132" spans="1:14" ht="15.75" x14ac:dyDescent="0.25">
      <c r="A132" s="318"/>
      <c r="B132" s="318"/>
      <c r="C132" s="318"/>
      <c r="D132" s="318"/>
      <c r="N132" s="326"/>
    </row>
    <row r="133" spans="1:14" ht="15.75" x14ac:dyDescent="0.25">
      <c r="N133" s="326"/>
    </row>
    <row r="134" spans="1:14" ht="15.75" x14ac:dyDescent="0.25">
      <c r="N134" s="326"/>
    </row>
    <row r="135" spans="1:14" ht="15.75" x14ac:dyDescent="0.25">
      <c r="D135" s="318"/>
      <c r="N135" s="326"/>
    </row>
    <row r="136" spans="1:14" ht="15.75" x14ac:dyDescent="0.25">
      <c r="A136" s="318"/>
      <c r="B136" s="318"/>
      <c r="C136" s="318"/>
      <c r="D136" s="318"/>
      <c r="N136" s="326"/>
    </row>
    <row r="137" spans="1:14" ht="15.75" x14ac:dyDescent="0.25">
      <c r="N137" s="346"/>
    </row>
    <row r="138" spans="1:14" ht="15.75" x14ac:dyDescent="0.25">
      <c r="N138" s="326"/>
    </row>
    <row r="139" spans="1:14" ht="15.75" x14ac:dyDescent="0.25">
      <c r="N139" s="346"/>
    </row>
    <row r="140" spans="1:14" ht="15.75" x14ac:dyDescent="0.25">
      <c r="N140" s="326"/>
    </row>
    <row r="141" spans="1:14" ht="15.75" x14ac:dyDescent="0.25">
      <c r="N141" s="346"/>
    </row>
    <row r="142" spans="1:14" ht="15.75" x14ac:dyDescent="0.25">
      <c r="N142" s="326"/>
    </row>
    <row r="143" spans="1:14" ht="15.75" x14ac:dyDescent="0.25">
      <c r="N143" s="346"/>
    </row>
    <row r="144" spans="1:14" ht="15.75" x14ac:dyDescent="0.25">
      <c r="N144" s="346"/>
    </row>
    <row r="145" spans="14:14" ht="15.75" x14ac:dyDescent="0.25">
      <c r="N145" s="326"/>
    </row>
    <row r="146" spans="14:14" ht="15.75" x14ac:dyDescent="0.25">
      <c r="N146" s="326"/>
    </row>
    <row r="147" spans="14:14" ht="15.75" x14ac:dyDescent="0.25">
      <c r="N147" s="326"/>
    </row>
    <row r="148" spans="14:14" ht="15.75" x14ac:dyDescent="0.25">
      <c r="N148" s="326"/>
    </row>
    <row r="149" spans="14:14" ht="15.75" x14ac:dyDescent="0.25">
      <c r="N149" s="326"/>
    </row>
    <row r="150" spans="14:14" ht="15.75" x14ac:dyDescent="0.25">
      <c r="N150" s="326"/>
    </row>
    <row r="151" spans="14:14" ht="15.75" x14ac:dyDescent="0.25">
      <c r="N151" s="326"/>
    </row>
    <row r="152" spans="14:14" ht="15.75" x14ac:dyDescent="0.25">
      <c r="N152" s="346"/>
    </row>
    <row r="153" spans="14:14" ht="15.75" x14ac:dyDescent="0.25">
      <c r="N153" s="326"/>
    </row>
    <row r="154" spans="14:14" ht="15.75" x14ac:dyDescent="0.25">
      <c r="N154" s="326"/>
    </row>
    <row r="155" spans="14:14" ht="15.75" x14ac:dyDescent="0.25">
      <c r="N155" s="346"/>
    </row>
    <row r="156" spans="14:14" ht="15.75" x14ac:dyDescent="0.25">
      <c r="N156" s="346"/>
    </row>
    <row r="157" spans="14:14" ht="15.75" x14ac:dyDescent="0.25">
      <c r="N157" s="346"/>
    </row>
    <row r="158" spans="14:14" ht="15.75" x14ac:dyDescent="0.25">
      <c r="N158" s="346"/>
    </row>
    <row r="159" spans="14:14" ht="15.75" x14ac:dyDescent="0.25">
      <c r="N159" s="326"/>
    </row>
    <row r="160" spans="14:14" ht="15.75" x14ac:dyDescent="0.25">
      <c r="N160" s="326"/>
    </row>
    <row r="161" spans="1:14" ht="15.75" x14ac:dyDescent="0.25">
      <c r="N161" s="346"/>
    </row>
    <row r="162" spans="1:14" ht="15.75" x14ac:dyDescent="0.25">
      <c r="N162" s="326"/>
    </row>
    <row r="163" spans="1:14" ht="15.75" x14ac:dyDescent="0.25">
      <c r="N163" s="346"/>
    </row>
    <row r="164" spans="1:14" ht="15.75" x14ac:dyDescent="0.25">
      <c r="N164" s="346"/>
    </row>
    <row r="165" spans="1:14" ht="15.75" x14ac:dyDescent="0.25">
      <c r="N165" s="346"/>
    </row>
    <row r="166" spans="1:14" ht="15.75" x14ac:dyDescent="0.25">
      <c r="N166" s="347"/>
    </row>
    <row r="167" spans="1:14" ht="15.75" x14ac:dyDescent="0.25">
      <c r="N167" s="346"/>
    </row>
    <row r="168" spans="1:14" ht="15.75" x14ac:dyDescent="0.25">
      <c r="N168" s="326"/>
    </row>
    <row r="169" spans="1:14" ht="15.75" x14ac:dyDescent="0.25">
      <c r="N169" s="326"/>
    </row>
    <row r="170" spans="1:14" ht="15.75" x14ac:dyDescent="0.25">
      <c r="A170" s="318"/>
      <c r="B170" s="318"/>
      <c r="C170" s="318"/>
      <c r="D170" s="318"/>
      <c r="N170" s="326"/>
    </row>
    <row r="171" spans="1:14" ht="15.75" x14ac:dyDescent="0.25">
      <c r="A171" s="318"/>
      <c r="B171" s="318"/>
      <c r="C171" s="318"/>
      <c r="D171" s="318"/>
      <c r="N171" s="326"/>
    </row>
    <row r="172" spans="1:14" ht="15.75" x14ac:dyDescent="0.25">
      <c r="A172" s="318"/>
      <c r="B172" s="318"/>
      <c r="C172" s="318"/>
      <c r="D172" s="318"/>
      <c r="N172" s="326"/>
    </row>
    <row r="173" spans="1:14" ht="15.75" x14ac:dyDescent="0.25">
      <c r="A173" s="318"/>
      <c r="B173" s="318"/>
      <c r="C173" s="318"/>
      <c r="D173" s="318"/>
      <c r="N173" s="326"/>
    </row>
    <row r="174" spans="1:14" ht="15.75" x14ac:dyDescent="0.25">
      <c r="A174" s="318"/>
      <c r="C174" s="318"/>
      <c r="N174" s="346"/>
    </row>
    <row r="175" spans="1:14" ht="15.75" x14ac:dyDescent="0.25">
      <c r="A175" s="318"/>
      <c r="B175" s="318"/>
      <c r="C175" s="318"/>
      <c r="D175" s="318"/>
      <c r="N175" s="326"/>
    </row>
    <row r="176" spans="1:14" ht="15.75" x14ac:dyDescent="0.25">
      <c r="A176" s="318"/>
      <c r="B176" s="318"/>
      <c r="C176" s="318"/>
      <c r="D176" s="318"/>
      <c r="N176" s="346"/>
    </row>
    <row r="177" spans="1:14" ht="15.75" x14ac:dyDescent="0.25">
      <c r="D177" s="318"/>
      <c r="N177" s="326"/>
    </row>
    <row r="178" spans="1:14" ht="15.75" x14ac:dyDescent="0.25">
      <c r="A178" s="318"/>
      <c r="B178" s="318"/>
      <c r="C178" s="318"/>
      <c r="D178" s="318"/>
      <c r="N178" s="346"/>
    </row>
    <row r="179" spans="1:14" ht="15.75" x14ac:dyDescent="0.25">
      <c r="A179" s="318"/>
      <c r="B179" s="318"/>
      <c r="C179" s="318"/>
      <c r="D179" s="318"/>
      <c r="N179" s="326"/>
    </row>
    <row r="180" spans="1:14" ht="15.75" x14ac:dyDescent="0.25">
      <c r="N180" s="346"/>
    </row>
    <row r="181" spans="1:14" ht="15.75" x14ac:dyDescent="0.25">
      <c r="A181" s="318"/>
      <c r="B181" s="318"/>
      <c r="C181" s="318"/>
      <c r="D181" s="318"/>
      <c r="N181" s="346"/>
    </row>
    <row r="182" spans="1:14" ht="15.75" x14ac:dyDescent="0.25">
      <c r="A182" s="318"/>
      <c r="B182" s="318"/>
      <c r="C182" s="318"/>
      <c r="D182" s="318"/>
      <c r="N182" s="326"/>
    </row>
    <row r="183" spans="1:14" ht="15.75" x14ac:dyDescent="0.25">
      <c r="N183" s="326"/>
    </row>
    <row r="184" spans="1:14" ht="15.75" x14ac:dyDescent="0.25">
      <c r="N184" s="326"/>
    </row>
    <row r="185" spans="1:14" ht="15.75" x14ac:dyDescent="0.25">
      <c r="A185" s="318"/>
      <c r="B185" s="318"/>
      <c r="C185" s="318"/>
      <c r="D185" s="318"/>
      <c r="N185" s="326"/>
    </row>
    <row r="186" spans="1:14" ht="15.75" x14ac:dyDescent="0.25">
      <c r="D186" s="318"/>
      <c r="N186" s="326"/>
    </row>
    <row r="187" spans="1:14" ht="15.75" x14ac:dyDescent="0.25">
      <c r="A187" s="318"/>
      <c r="B187" s="318"/>
      <c r="C187" s="318"/>
      <c r="D187" s="318"/>
      <c r="N187" s="326"/>
    </row>
    <row r="188" spans="1:14" ht="15.75" x14ac:dyDescent="0.25">
      <c r="N188" s="326"/>
    </row>
    <row r="189" spans="1:14" ht="15.75" x14ac:dyDescent="0.25">
      <c r="A189" s="318"/>
      <c r="B189" s="318"/>
      <c r="C189" s="318"/>
      <c r="D189" s="318"/>
      <c r="N189" s="346"/>
    </row>
    <row r="190" spans="1:14" ht="15.75" x14ac:dyDescent="0.25">
      <c r="N190" s="326"/>
    </row>
    <row r="191" spans="1:14" ht="15.75" x14ac:dyDescent="0.25">
      <c r="N191" s="326"/>
    </row>
    <row r="192" spans="1:14" ht="15.75" x14ac:dyDescent="0.25">
      <c r="N192" s="346"/>
    </row>
    <row r="193" spans="14:14" ht="15.75" x14ac:dyDescent="0.25">
      <c r="N193" s="346"/>
    </row>
    <row r="194" spans="14:14" ht="15.75" x14ac:dyDescent="0.25">
      <c r="N194" s="346"/>
    </row>
    <row r="195" spans="14:14" ht="15.75" x14ac:dyDescent="0.25">
      <c r="N195" s="346"/>
    </row>
    <row r="196" spans="14:14" ht="15.75" x14ac:dyDescent="0.25">
      <c r="N196" s="326"/>
    </row>
    <row r="197" spans="14:14" ht="15.75" x14ac:dyDescent="0.25">
      <c r="N197" s="326"/>
    </row>
    <row r="198" spans="14:14" ht="15.75" x14ac:dyDescent="0.25">
      <c r="N198" s="346"/>
    </row>
    <row r="199" spans="14:14" ht="15.75" x14ac:dyDescent="0.25">
      <c r="N199" s="326"/>
    </row>
    <row r="200" spans="14:14" ht="15.75" x14ac:dyDescent="0.25">
      <c r="N200" s="346"/>
    </row>
    <row r="201" spans="14:14" ht="15.75" x14ac:dyDescent="0.25">
      <c r="N201" s="346"/>
    </row>
    <row r="202" spans="14:14" ht="15.75" x14ac:dyDescent="0.25">
      <c r="N202" s="326"/>
    </row>
    <row r="203" spans="14:14" ht="15.75" x14ac:dyDescent="0.25">
      <c r="N203" s="346"/>
    </row>
    <row r="204" spans="14:14" ht="15.75" x14ac:dyDescent="0.25">
      <c r="N204" s="326"/>
    </row>
    <row r="205" spans="14:14" ht="15.75" x14ac:dyDescent="0.25">
      <c r="N205" s="346"/>
    </row>
    <row r="206" spans="14:14" ht="15.75" x14ac:dyDescent="0.25">
      <c r="N206" s="346"/>
    </row>
    <row r="207" spans="14:14" ht="18" x14ac:dyDescent="0.25">
      <c r="N207" s="327"/>
    </row>
    <row r="208" spans="14:14" ht="18" x14ac:dyDescent="0.25">
      <c r="N208" s="328"/>
    </row>
    <row r="209" spans="14:14" ht="18" x14ac:dyDescent="0.25">
      <c r="N209" s="328"/>
    </row>
    <row r="210" spans="14:14" ht="18" x14ac:dyDescent="0.25">
      <c r="N210" s="328"/>
    </row>
    <row r="211" spans="14:14" ht="18" x14ac:dyDescent="0.25">
      <c r="N211" s="328"/>
    </row>
    <row r="212" spans="14:14" ht="18" x14ac:dyDescent="0.25">
      <c r="N212" s="328"/>
    </row>
    <row r="213" spans="14:14" ht="18" x14ac:dyDescent="0.25">
      <c r="N213" s="328"/>
    </row>
    <row r="214" spans="14:14" ht="18" x14ac:dyDescent="0.25">
      <c r="N214" s="328"/>
    </row>
    <row r="215" spans="14:14" ht="18" x14ac:dyDescent="0.25">
      <c r="N215" s="328"/>
    </row>
    <row r="216" spans="14:14" ht="18" x14ac:dyDescent="0.25">
      <c r="N216" s="328"/>
    </row>
    <row r="217" spans="14:14" ht="18" x14ac:dyDescent="0.25">
      <c r="N217" s="328"/>
    </row>
    <row r="218" spans="14:14" ht="18" x14ac:dyDescent="0.25">
      <c r="N218" s="328"/>
    </row>
    <row r="219" spans="14:14" ht="18" x14ac:dyDescent="0.25">
      <c r="N219" s="328"/>
    </row>
    <row r="220" spans="14:14" ht="18" x14ac:dyDescent="0.25">
      <c r="N220" s="328"/>
    </row>
    <row r="221" spans="14:14" ht="18" x14ac:dyDescent="0.25">
      <c r="N221" s="328"/>
    </row>
    <row r="222" spans="14:14" ht="18" x14ac:dyDescent="0.25">
      <c r="N222" s="328"/>
    </row>
    <row r="223" spans="14:14" ht="18" x14ac:dyDescent="0.25">
      <c r="N223" s="328"/>
    </row>
    <row r="224" spans="14:14" ht="18" x14ac:dyDescent="0.25">
      <c r="N224" s="328"/>
    </row>
    <row r="225" spans="14:14" ht="18" x14ac:dyDescent="0.25">
      <c r="N225" s="328"/>
    </row>
    <row r="226" spans="14:14" ht="18" x14ac:dyDescent="0.25">
      <c r="N226" s="328"/>
    </row>
    <row r="227" spans="14:14" ht="18" x14ac:dyDescent="0.25">
      <c r="N227" s="328"/>
    </row>
    <row r="228" spans="14:14" ht="18" x14ac:dyDescent="0.25">
      <c r="N228" s="328"/>
    </row>
    <row r="229" spans="14:14" ht="18" x14ac:dyDescent="0.25">
      <c r="N229" s="328"/>
    </row>
    <row r="230" spans="14:14" ht="18" x14ac:dyDescent="0.25">
      <c r="N230" s="328"/>
    </row>
    <row r="231" spans="14:14" ht="18" x14ac:dyDescent="0.25">
      <c r="N231" s="328"/>
    </row>
    <row r="232" spans="14:14" ht="18" x14ac:dyDescent="0.25">
      <c r="N232" s="328"/>
    </row>
    <row r="233" spans="14:14" ht="18" x14ac:dyDescent="0.25">
      <c r="N233" s="328"/>
    </row>
    <row r="234" spans="14:14" ht="18" x14ac:dyDescent="0.25">
      <c r="N234" s="328"/>
    </row>
    <row r="235" spans="14:14" ht="18" x14ac:dyDescent="0.25">
      <c r="N235" s="328"/>
    </row>
    <row r="236" spans="14:14" ht="18" x14ac:dyDescent="0.25">
      <c r="N236" s="328"/>
    </row>
    <row r="237" spans="14:14" ht="18" x14ac:dyDescent="0.25">
      <c r="N237" s="328"/>
    </row>
    <row r="238" spans="14:14" ht="18" x14ac:dyDescent="0.25">
      <c r="N238" s="328"/>
    </row>
    <row r="239" spans="14:14" ht="18" x14ac:dyDescent="0.25">
      <c r="N239" s="328"/>
    </row>
    <row r="240" spans="14:14" ht="18" x14ac:dyDescent="0.25">
      <c r="N240" s="328"/>
    </row>
    <row r="241" spans="14:14" ht="18" x14ac:dyDescent="0.25">
      <c r="N241" s="328"/>
    </row>
    <row r="242" spans="14:14" ht="18" x14ac:dyDescent="0.25">
      <c r="N242" s="328"/>
    </row>
    <row r="243" spans="14:14" ht="18" x14ac:dyDescent="0.25">
      <c r="N243" s="328"/>
    </row>
    <row r="244" spans="14:14" ht="18" x14ac:dyDescent="0.25">
      <c r="N244" s="328"/>
    </row>
    <row r="245" spans="14:14" ht="18" x14ac:dyDescent="0.25">
      <c r="N245" s="328"/>
    </row>
    <row r="246" spans="14:14" ht="18" x14ac:dyDescent="0.25">
      <c r="N246" s="328"/>
    </row>
    <row r="247" spans="14:14" ht="15.75" x14ac:dyDescent="0.25">
      <c r="N247"/>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9</vt:i4>
      </vt:variant>
    </vt:vector>
  </HeadingPairs>
  <TitlesOfParts>
    <vt:vector size="18" baseType="lpstr">
      <vt:lpstr>Instructions</vt:lpstr>
      <vt:lpstr>ActualResults</vt:lpstr>
      <vt:lpstr>Decision</vt:lpstr>
      <vt:lpstr>ExpectedResults</vt:lpstr>
      <vt:lpstr>Data</vt:lpstr>
      <vt:lpstr>Q3</vt:lpstr>
      <vt:lpstr>Q2</vt:lpstr>
      <vt:lpstr>Q1</vt:lpstr>
      <vt:lpstr>RawData</vt:lpstr>
      <vt:lpstr>Jazyk</vt:lpstr>
      <vt:lpstr>ActualResults!Oblast_tisku</vt:lpstr>
      <vt:lpstr>Data!Oblast_tisku</vt:lpstr>
      <vt:lpstr>ExpectedResults!Oblast_tisku</vt:lpstr>
      <vt:lpstr>'Q1'!Oblast_tisku</vt:lpstr>
      <vt:lpstr>'Q2'!Oblast_tisku</vt:lpstr>
      <vt:lpstr>'Q3'!Oblast_tisku</vt:lpstr>
      <vt:lpstr>Pozadavek</vt:lpstr>
      <vt:lpstr>Výroba</vt:lpstr>
    </vt:vector>
  </TitlesOfParts>
  <Company>PEF MZLU v Brně</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Žufan</dc:creator>
  <cp:lastModifiedBy>Pavel Žufan</cp:lastModifiedBy>
  <cp:lastPrinted>2002-10-08T12:22:40Z</cp:lastPrinted>
  <dcterms:created xsi:type="dcterms:W3CDTF">2001-08-21T07:56:09Z</dcterms:created>
  <dcterms:modified xsi:type="dcterms:W3CDTF">2024-10-07T17:13:03Z</dcterms:modified>
</cp:coreProperties>
</file>